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Default Extension="vml" ContentType="application/vnd.openxmlformats-officedocument.vmlDrawing"/>
  <Default Extension="jpg" ContentType="image/jpg"/>
  <Default Extension="tiff" ContentType="image/tiff"/>
  <Default Extension="jpeg" ContentType="image/jpeg"/>
  <Default Extension="png" ContentType="image/png"/>
  <Default Extension="bmp" ContentType="image/bmp"/>
  <Default Extension="gif" ContentType="image/gif"/>
  <Default Extension="svg" ContentType="image/svg+xml"/>
  <Default Extension="emf" ContentType="image/x-emf"/>
  <Default Extension="wmf" ContentType="image/x-wmf"/>
  <Override PartName="/xl/workbook.xml" ContentType="application/vnd.openxmlformats-officedocument.spreadsheetml.sheet.main+xml"/>
  <Override PartName="/xl/styles.xml" ContentType="application/vnd.openxmlformats-officedocument.spreadsheetml.styles+xml"/>
  <Override PartName="/xl/worksheets/sheet1.xml" ContentType="application/vnd.openxmlformats-officedocument.spreadsheetml.worksheet+xml"/>
  <Override PartName="/xl/worksheets/sheet2.xml" ContentType="application/vnd.openxmlformats-officedocument.spreadsheetml.worksheet+xml"/>
  <Override PartName="/xl/comments1.xml" ContentType="application/vnd.openxmlformats-officedocument.spreadsheetml.comments+xml"/>
  <Override PartName="/xl/drawings/drawing1.xml" ContentType="application/vnd.openxmlformats-officedocument.drawing+xml"/>
  <Override PartName="/xl/worksheets/sheet3.xml" ContentType="application/vnd.openxmlformats-officedocument.spreadsheetml.worksheet+xml"/>
  <Override PartName="/xl/drawings/drawing2.xml" ContentType="application/vnd.openxmlformats-officedocument.drawing+xml"/>
  <Override PartName="/xl/worksheets/sheet4.xml" ContentType="application/vnd.openxmlformats-officedocument.spreadsheetml.worksheet+xml"/>
  <Override PartName="/xl/drawings/drawing3.xml" ContentType="application/vnd.openxmlformats-officedocument.drawing+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worksheets/sheet23.xml" ContentType="application/vnd.openxmlformats-officedocument.spreadsheetml.worksheet+xml"/>
  <Override PartName="/xl/worksheets/sheet24.xml" ContentType="application/vnd.openxmlformats-officedocument.spreadsheetml.worksheet+xml"/>
  <Override PartName="/xl/worksheets/sheet25.xml" ContentType="application/vnd.openxmlformats-officedocument.spreadsheetml.worksheet+xml"/>
  <Override PartName="/xl/worksheets/sheet26.xml" ContentType="application/vnd.openxmlformats-officedocument.spreadsheetml.worksheet+xml"/>
  <Override PartName="/xl/worksheets/sheet27.xml" ContentType="application/vnd.openxmlformats-officedocument.spreadsheetml.worksheet+xml"/>
  <Override PartName="/xl/worksheets/sheet28.xml" ContentType="application/vnd.openxmlformats-officedocument.spreadsheetml.worksheet+xml"/>
  <Override PartName="/xl/worksheets/sheet29.xml" ContentType="application/vnd.openxmlformats-officedocument.spreadsheetml.worksheet+xml"/>
  <Override PartName="/xl/worksheets/sheet30.xml" ContentType="application/vnd.openxmlformats-officedocument.spreadsheetml.worksheet+xml"/>
  <Override PartName="/xl/worksheets/sheet31.xml" ContentType="application/vnd.openxmlformats-officedocument.spreadsheetml.worksheet+xml"/>
  <Override PartName="/xl/worksheets/sheet32.xml" ContentType="application/vnd.openxmlformats-officedocument.spreadsheetml.worksheet+xml"/>
  <Override PartName="/xl/worksheets/sheet33.xml" ContentType="application/vnd.openxmlformats-officedocument.spreadsheetml.worksheet+xml"/>
  <Override PartName="/xl/worksheets/sheet34.xml" ContentType="application/vnd.openxmlformats-officedocument.spreadsheetml.worksheet+xml"/>
  <Override PartName="/xl/worksheets/sheet35.xml" ContentType="application/vnd.openxmlformats-officedocument.spreadsheetml.worksheet+xml"/>
  <Override PartName="/xl/drawings/drawing4.xml" ContentType="application/vnd.openxmlformats-officedocument.drawing+xml"/>
  <Override PartName="/xl/worksheets/sheet36.xml" ContentType="application/vnd.openxmlformats-officedocument.spreadsheetml.worksheet+xml"/>
  <Override PartName="/xl/drawings/drawing5.xml" ContentType="application/vnd.openxmlformats-officedocument.drawing+xml"/>
  <Override PartName="/xl/worksheets/sheet37.xml" ContentType="application/vnd.openxmlformats-officedocument.spreadsheetml.worksheet+xml"/>
  <Override PartName="/xl/worksheets/sheet38.xml" ContentType="application/vnd.openxmlformats-officedocument.spreadsheetml.worksheet+xml"/>
  <Override PartName="/xl/worksheets/sheet39.xml" ContentType="application/vnd.openxmlformats-officedocument.spreadsheetml.worksheet+xml"/>
  <Override PartName="/xl/worksheets/sheet40.xml" ContentType="application/vnd.openxmlformats-officedocument.spreadsheetml.worksheet+xml"/>
  <Override PartName="/xl/worksheets/sheet41.xml" ContentType="application/vnd.openxmlformats-officedocument.spreadsheetml.worksheet+xml"/>
  <Override PartName="/xl/worksheets/sheet42.xml" ContentType="application/vnd.openxmlformats-officedocument.spreadsheetml.worksheet+xml"/>
  <Override PartName="/xl/worksheets/sheet43.xml" ContentType="application/vnd.openxmlformats-officedocument.spreadsheetml.worksheet+xml"/>
  <Override PartName="/xl/worksheets/sheet44.xml" ContentType="application/vnd.openxmlformats-officedocument.spreadsheetml.worksheet+xml"/>
  <Override PartName="/xl/worksheets/sheet45.xml" ContentType="application/vnd.openxmlformats-officedocument.spreadsheetml.worksheet+xml"/>
  <Override PartName="/xl/worksheets/sheet46.xml" ContentType="application/vnd.openxmlformats-officedocument.spreadsheetml.worksheet+xml"/>
  <Override PartName="/xl/worksheets/sheet47.xml" ContentType="application/vnd.openxmlformats-officedocument.spreadsheetml.worksheet+xml"/>
  <Override PartName="/xl/drawings/drawing6.xml" ContentType="application/vnd.openxmlformats-officedocument.drawing+xml"/>
  <Override PartName="/xl/worksheets/sheet48.xml" ContentType="application/vnd.openxmlformats-officedocument.spreadsheetml.worksheet+xml"/>
  <Override PartName="/xl/drawings/drawing7.xml" ContentType="application/vnd.openxmlformats-officedocument.drawing+xml"/>
  <Override PartName="/xl/worksheets/sheet49.xml" ContentType="application/vnd.openxmlformats-officedocument.spreadsheetml.worksheet+xml"/>
  <Override PartName="/xl/drawings/drawing8.xml" ContentType="application/vnd.openxmlformats-officedocument.drawing+xml"/>
  <Override PartName="/xl/worksheets/sheet50.xml" ContentType="application/vnd.openxmlformats-officedocument.spreadsheetml.worksheet+xml"/>
  <Override PartName="/xl/worksheets/sheet51.xml" ContentType="application/vnd.openxmlformats-officedocument.spreadsheetml.worksheet+xml"/>
  <Override PartName="/xl/comments2.xml" ContentType="application/vnd.openxmlformats-officedocument.spreadsheetml.comments+xml"/>
  <Override PartName="/xl/worksheets/sheet52.xml" ContentType="application/vnd.openxmlformats-officedocument.spreadsheetml.worksheet+xml"/>
  <Override PartName="/xl/worksheets/sheet53.xml" ContentType="application/vnd.openxmlformats-officedocument.spreadsheetml.worksheet+xml"/>
  <Override PartName="/xl/worksheets/sheet54.xml" ContentType="application/vnd.openxmlformats-officedocument.spreadsheetml.worksheet+xml"/>
  <Override PartName="/xl/worksheets/sheet55.xml" ContentType="application/vnd.openxmlformats-officedocument.spreadsheetml.worksheet+xml"/>
  <Override PartName="/xl/worksheets/sheet56.xml" ContentType="application/vnd.openxmlformats-officedocument.spreadsheetml.worksheet+xml"/>
  <Override PartName="/xl/worksheets/sheet57.xml" ContentType="application/vnd.openxmlformats-officedocument.spreadsheetml.worksheet+xml"/>
  <Override PartName="/xl/worksheets/sheet58.xml" ContentType="application/vnd.openxmlformats-officedocument.spreadsheetml.worksheet+xml"/>
  <Override PartName="/xl/worksheets/sheet59.xml" ContentType="application/vnd.openxmlformats-officedocument.spreadsheetml.worksheet+xml"/>
  <Override PartName="/xl/worksheets/sheet60.xml" ContentType="application/vnd.openxmlformats-officedocument.spreadsheetml.worksheet+xml"/>
  <Override PartName="/xl/worksheets/sheet61.xml" ContentType="application/vnd.openxmlformats-officedocument.spreadsheetml.worksheet+xml"/>
  <Override PartName="/xl/worksheets/sheet62.xml" ContentType="application/vnd.openxmlformats-officedocument.spreadsheetml.worksheet+xml"/>
  <Override PartName="/xl/worksheets/sheet63.xml" ContentType="application/vnd.openxmlformats-officedocument.spreadsheetml.worksheet+xml"/>
  <Override PartName="/xl/comments3.xml" ContentType="application/vnd.openxmlformats-officedocument.spreadsheetml.comments+xml"/>
  <Override PartName="/xl/worksheets/sheet64.xml" ContentType="application/vnd.openxmlformats-officedocument.spreadsheetml.worksheet+xml"/>
  <Override PartName="/xl/worksheets/sheet65.xml" ContentType="application/vnd.openxmlformats-officedocument.spreadsheetml.worksheet+xml"/>
  <Override PartName="/xl/worksheets/sheet66.xml" ContentType="application/vnd.openxmlformats-officedocument.spreadsheetml.worksheet+xml"/>
  <Override PartName="/xl/worksheets/sheet67.xml" ContentType="application/vnd.openxmlformats-officedocument.spreadsheetml.worksheet+xml"/>
  <Override PartName="/xl/worksheets/sheet68.xml" ContentType="application/vnd.openxmlformats-officedocument.spreadsheetml.worksheet+xml"/>
  <Override PartName="/xl/worksheets/sheet69.xml" ContentType="application/vnd.openxmlformats-officedocument.spreadsheetml.worksheet+xml"/>
  <Override PartName="/xl/worksheets/sheet70.xml" ContentType="application/vnd.openxmlformats-officedocument.spreadsheetml.worksheet+xml"/>
  <Override PartName="/xl/worksheets/sheet71.xml" ContentType="application/vnd.openxmlformats-officedocument.spreadsheetml.worksheet+xml"/>
  <Override PartName="/xl/worksheets/sheet72.xml" ContentType="application/vnd.openxmlformats-officedocument.spreadsheetml.worksheet+xml"/>
  <Override PartName="/xl/worksheets/sheet73.xml" ContentType="application/vnd.openxmlformats-officedocument.spreadsheetml.worksheet+xml"/>
  <Override PartName="/xl/worksheets/sheet74.xml" ContentType="application/vnd.openxmlformats-officedocument.spreadsheetml.worksheet+xml"/>
  <Override PartName="/xl/worksheets/sheet75.xml" ContentType="application/vnd.openxmlformats-officedocument.spreadsheetml.worksheet+xml"/>
  <Override PartName="/xl/worksheets/sheet76.xml" ContentType="application/vnd.openxmlformats-officedocument.spreadsheetml.worksheet+xml"/>
  <Override PartName="/xl/worksheets/sheet77.xml" ContentType="application/vnd.openxmlformats-officedocument.spreadsheetml.worksheet+xml"/>
  <Override PartName="/xl/worksheets/sheet78.xml" ContentType="application/vnd.openxmlformats-officedocument.spreadsheetml.worksheet+xml"/>
  <Override PartName="/xl/worksheets/sheet79.xml" ContentType="application/vnd.openxmlformats-officedocument.spreadsheetml.worksheet+xml"/>
  <Override PartName="/xl/worksheets/sheet80.xml" ContentType="application/vnd.openxmlformats-officedocument.spreadsheetml.worksheet+xml"/>
  <Override PartName="/xl/worksheets/sheet81.xml" ContentType="application/vnd.openxmlformats-officedocument.spreadsheetml.worksheet+xml"/>
  <Override PartName="/xl/worksheets/sheet82.xml" ContentType="application/vnd.openxmlformats-officedocument.spreadsheetml.worksheet+xml"/>
  <Override PartName="/xl/worksheets/sheet83.xml" ContentType="application/vnd.openxmlformats-officedocument.spreadsheetml.worksheet+xml"/>
  <Override PartName="/xl/worksheets/sheet84.xml" ContentType="application/vnd.openxmlformats-officedocument.spreadsheetml.worksheet+xml"/>
  <Override PartName="/xl/worksheets/sheet85.xml" ContentType="application/vnd.openxmlformats-officedocument.spreadsheetml.worksheet+xml"/>
  <Override PartName="/xl/worksheets/sheet86.xml" ContentType="application/vnd.openxmlformats-officedocument.spreadsheetml.worksheet+xml"/>
  <Override PartName="/xl/worksheets/sheet87.xml" ContentType="application/vnd.openxmlformats-officedocument.spreadsheetml.worksheet+xml"/>
  <Override PartName="/xl/worksheets/sheet88.xml" ContentType="application/vnd.openxmlformats-officedocument.spreadsheetml.worksheet+xml"/>
  <Override PartName="/xl/worksheets/sheet89.xml" ContentType="application/vnd.openxmlformats-officedocument.spreadsheetml.worksheet+xml"/>
  <Override PartName="/xl/sharedStrings.xml" ContentType="application/vnd.openxmlformats-officedocument.spreadsheetml.sharedStrings+xml"/>
  <Override PartName="/xl/theme/theme1.xml" ContentType="application/vnd.openxmlformats-officedocument.theme+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2" Type="http://schemas.openxmlformats.org/package/2006/relationships/metadata/core-properties" Target="docProps/core.xml"/><Relationship Id="rId3" Type="http://schemas.openxmlformats.org/officeDocument/2006/relationships/extended-properties" Target="docProps/app.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bookViews>
    <workbookView tabRatio="852" firstSheet="1" activeTab="1"/>
  </bookViews>
  <sheets>
    <sheet name="Инструкция" sheetId="1" r:id="rId2"/>
    <sheet name="Титульный" sheetId="2" r:id="rId3"/>
    <sheet name="Список территорий" sheetId="3" r:id="rId4"/>
    <sheet name="Дифференциация" sheetId="4" r:id="rId5"/>
    <sheet name="Перечень тарифов" sheetId="5" state="hidden" r:id="rId6"/>
    <sheet name="Дифференциация тариф показатель" sheetId="6" state="hidden" r:id="rId7"/>
    <sheet name="Общая информация об организации" sheetId="7" state="hidden" r:id="rId8"/>
    <sheet name="Общая информация по ВД" sheetId="8" state="hidden" r:id="rId9"/>
    <sheet name="Виды объектов" sheetId="9" state="hidden" r:id="rId10"/>
    <sheet name="Сведения по территориям" sheetId="10" state="hidden" r:id="rId11"/>
    <sheet name="ТС. Т-ТЭ | &gt;=25МВт" sheetId="11" state="hidden" r:id="rId12"/>
    <sheet name="ТС. Т-ТЭ | ТСО" sheetId="12" state="hidden" r:id="rId13"/>
    <sheet name="ТС. Т-ТЭ | предел" sheetId="13" state="hidden" r:id="rId14"/>
    <sheet name="ТС. Т-ТЭ | индикат" sheetId="14" state="hidden" r:id="rId15"/>
    <sheet name="ТС. Резерв мощности" sheetId="15" state="hidden" r:id="rId16"/>
    <sheet name="ТС. Т-ТН" sheetId="16" state="hidden" r:id="rId17"/>
    <sheet name="ТС. Т-передача ТЭ" sheetId="17" state="hidden" r:id="rId18"/>
    <sheet name="ТС. Т-передача ТН" sheetId="18" state="hidden" r:id="rId19"/>
    <sheet name="ТС. Т-гор.вода" sheetId="19" state="hidden" r:id="rId20"/>
    <sheet name="ТС. Т-подкл" sheetId="20" state="hidden" r:id="rId21"/>
    <sheet name="ХВС. Т-пит" sheetId="21" state="hidden" r:id="rId22"/>
    <sheet name="ХВС. Т-тех" sheetId="22" state="hidden" r:id="rId23"/>
    <sheet name="ХВС. Т-транс" sheetId="23" state="hidden" r:id="rId24"/>
    <sheet name="ХВС. Т-подвоз" sheetId="24" state="hidden" r:id="rId25"/>
    <sheet name="ТС. Т-подкл(инд)" sheetId="25" state="hidden" r:id="rId26"/>
    <sheet name="ХВС. Т-подкл" sheetId="26" state="hidden" r:id="rId27"/>
    <sheet name="ВО. Т-во" sheetId="27" state="hidden" r:id="rId28"/>
    <sheet name="ВО. Т-транс" sheetId="28" state="hidden" r:id="rId29"/>
    <sheet name="ВО. Т-подкл" sheetId="29" state="hidden" r:id="rId30"/>
    <sheet name="ГВС. Т-гор.вода" sheetId="30" state="hidden" r:id="rId31"/>
    <sheet name="ГВС. Т-транс" sheetId="31" state="hidden" r:id="rId32"/>
    <sheet name="ГВС. Т-подкл" sheetId="32" state="hidden" r:id="rId33"/>
    <sheet name="Показатели ФХД" sheetId="33" state="hidden" r:id="rId34"/>
    <sheet name="Показатели ФХД &gt;20%" sheetId="34" state="hidden" r:id="rId35"/>
    <sheet name="Показатели ОТЭП" sheetId="35" state="hidden" r:id="rId36"/>
    <sheet name="Стандарты качества" sheetId="36" state="hidden" r:id="rId37"/>
    <sheet name="ТКО. Показатели ФХД" sheetId="37" state="hidden" r:id="rId38"/>
    <sheet name="ТКО. Транс. Показатели ФХД" sheetId="38" state="hidden" r:id="rId39"/>
    <sheet name="Показатели КНЭ" sheetId="39" state="hidden" r:id="rId40"/>
    <sheet name="Ограничения" sheetId="40" r:id="rId41"/>
    <sheet name="ИП" sheetId="41" state="hidden" r:id="rId42"/>
    <sheet name="ИП. Детализация" sheetId="42" state="hidden" r:id="rId43"/>
    <sheet name="ИП. Финансовый план" sheetId="43" state="hidden" r:id="rId44"/>
    <sheet name="ИП. КНЭ" sheetId="44" state="hidden" r:id="rId45"/>
    <sheet name="ТП" sheetId="45" r:id="rId46"/>
    <sheet name="Договоры" sheetId="46" state="hidden" r:id="rId47"/>
    <sheet name="Порядок ТП" sheetId="47" state="hidden" r:id="rId48"/>
    <sheet name="Предложение" sheetId="48" state="hidden" r:id="rId49"/>
    <sheet name="Сведения о закупках" sheetId="49" state="hidden" r:id="rId50"/>
    <sheet name="Потребительские характеристики" sheetId="50" state="hidden" r:id="rId51"/>
    <sheet name="TEHSHEET" sheetId="51" state="hidden" r:id="rId52"/>
    <sheet name="Орган регулирования" sheetId="52" state="hidden" r:id="rId53"/>
    <sheet name="Перечень организаций" sheetId="53" state="hidden" r:id="rId54"/>
    <sheet name="Дела об установлении тарифов" sheetId="54" state="hidden" r:id="rId55"/>
    <sheet name="Дела об утверждении ПУЦ" sheetId="55" state="hidden" r:id="rId56"/>
    <sheet name="Привлечение к ответственности" sheetId="56" state="hidden" r:id="rId57"/>
    <sheet name="ЭД" sheetId="57" state="hidden" r:id="rId58"/>
    <sheet name="Сведения об изменении" sheetId="58" state="hidden" r:id="rId59"/>
    <sheet name="Комментарии" sheetId="59" r:id="rId60"/>
    <sheet name="Проверка" sheetId="60" state="hidden" r:id="rId61"/>
    <sheet name="et_union_hor" sheetId="61" state="hidden" r:id="rId62"/>
    <sheet name="DATA_FORMS" sheetId="62" state="hidden" r:id="rId63"/>
    <sheet name="DATA_NPA" sheetId="63" state="hidden" r:id="rId64"/>
    <sheet name="Т-ТЭ | потр" sheetId="64" state="hidden" r:id="rId65"/>
    <sheet name="modMainProcedures" sheetId="65" state="hidden" r:id="rId66"/>
    <sheet name="modB_FHD" sheetId="66" state="hidden" r:id="rId67"/>
    <sheet name="modB_FHD20" sheetId="67" state="hidden" r:id="rId68"/>
    <sheet name="modB_KNE" sheetId="68" state="hidden" r:id="rId69"/>
    <sheet name="modIP_MAIN" sheetId="69" state="hidden" r:id="rId70"/>
    <sheet name="modIP_QRE" sheetId="70" state="hidden" r:id="rId71"/>
    <sheet name="modIP_DETAILED" sheetId="71" state="hidden" r:id="rId72"/>
    <sheet name="et_union_vert" sheetId="72" state="hidden" r:id="rId73"/>
    <sheet name="Легенда" sheetId="73" state="hidden" r:id="rId74"/>
    <sheet name="modfrmListIP" sheetId="74" state="hidden" r:id="rId75"/>
    <sheet name="modfrmActivity" sheetId="75" state="hidden" r:id="rId76"/>
    <sheet name="REESTR_ORG" sheetId="76" state="hidden" r:id="rId77"/>
    <sheet name="REESTR_MO" sheetId="77" state="hidden" r:id="rId78"/>
    <sheet name="REESTR_IP" sheetId="78" state="hidden" r:id="rId79"/>
    <sheet name="REESTR_OBJ_INFR" sheetId="79" state="hidden" r:id="rId80"/>
    <sheet name="REESTR_DS" sheetId="80" state="hidden" r:id="rId81"/>
    <sheet name="REESTR_VT" sheetId="81" state="hidden" r:id="rId82"/>
    <sheet name="REESTR_VED" sheetId="82" state="hidden" r:id="rId83"/>
    <sheet name="REESTR_MO_FILTER" sheetId="83" state="hidden" r:id="rId84"/>
    <sheet name="REESTR_LINK" sheetId="84" state="hidden" r:id="rId85"/>
    <sheet name="modSheetMain" sheetId="85" state="hidden" r:id="rId86"/>
    <sheet name="modfrmReportMode" sheetId="86" state="hidden" r:id="rId87"/>
    <sheet name="modfrmReestrObj" sheetId="87" state="hidden" r:id="rId88"/>
    <sheet name="AllSheetsInThisWorkbook" sheetId="88" state="hidden" r:id="rId89"/>
    <sheet name="modInfo" sheetId="89" state="hidden" r:id="rId90"/>
  </sheets>
  <definedNames>
    <definedName name="anscount">1</definedName>
    <definedName name="B_FHD_CHECK_INDEX_1">'Показатели ФХД'!$M$66</definedName>
    <definedName name="B_FHD_CHECK_INDEX_2">'Показатели ФХД'!$M$68</definedName>
    <definedName name="B_FHD_COSTS_INDEX_1">'Показатели ФХД'!$H$65:$K$65</definedName>
    <definedName name="B_FHD_COSTS_INDEX_2">'Показатели ФХД'!$H$67:$K$67</definedName>
    <definedName name="B_FHD_DATA_TOP80_ACTIVITY">'Показатели ФХД'!$H$81:$K$81</definedName>
    <definedName name="B_FHD_diff_1">'Показатели ФХД'!$I$25:$I$27</definedName>
    <definedName name="B_FHD_FLAG_DIFFERENTIATION">'Показатели ФХД'!$H$24:$K$24</definedName>
    <definedName name="B_FHD_FLAG_INDEX_1">'Показатели ФХД'!$H$66:$K$66</definedName>
    <definedName name="B_FHD_FLAG_INDEX_2">'Показатели ФХД'!$H$68:$K$68</definedName>
    <definedName name="B_FHD_TKO_DATA_TOP80_ACTIVITY">'ТКО. Показатели ФХД'!$H$43:$K$43</definedName>
    <definedName name="B_FHD_TKO_diff_1">'ТКО. Показатели ФХД'!$I$10:$I$12</definedName>
    <definedName name="B_FHD_TKO_FLAG_DIFFERENTIATION">'ТКО. Показатели ФХД'!$H$9:$K$9</definedName>
    <definedName name="B_FHD_TKO_TRANS_DATA_TOP80_ACTIVITY">'ТКО. Транс. Показатели ФХД'!$H$35:$K$35</definedName>
    <definedName name="B_FHD_TKO_TRANS_diff_1">'ТКО. Транс. Показатели ФХД'!$I$10:$I$12</definedName>
    <definedName name="B_FHD_TKO_TRANS_FLAG_DIFFERENTIATION">'ТКО. Транс. Показатели ФХД'!$H$9:$K$9</definedName>
    <definedName name="B_FHD20_ADD_HL_2_COLUMN_MARKER">'Показатели ФХД &gt;20%'!$G$8</definedName>
    <definedName name="B_FHD20_ADD_HL_3_COLUMN_MARKER">'Показатели ФХД &gt;20%'!$J$8</definedName>
    <definedName name="B_FHD20_ADD_HL_4_COLUMN_MARKER">'Показатели ФХД &gt;20%'!$N$8</definedName>
    <definedName name="B_FHD20_ALL_DATA">'Показатели ФХД &gt;20%'!$D$13:$S$32</definedName>
    <definedName name="B_FHD20_COSTS_OPS_diff_1">'Показатели ФХД &gt;20%'!$Q$17</definedName>
    <definedName name="B_FHD20_COSTS_PH_diff_1">'Показатели ФХД &gt;20%'!$Q$20</definedName>
    <definedName name="B_FHD20_DEL_HL_2_COLUMN_MARKER">'Показатели ФХД &gt;20%'!$E$8</definedName>
    <definedName name="B_FHD20_DEL_HL_3_COLUMN_MARKER">'Показатели ФХД &gt;20%'!$H$8</definedName>
    <definedName name="B_FHD20_DEL_HL_4_COLUMN_MARKER">'Показатели ФХД &gt;20%'!$L$8</definedName>
    <definedName name="B_FHD20_diff_1">'Показатели ФХД &gt;20%'!$H$14:$R$16</definedName>
    <definedName name="B_FHD20_FLAG_FHD">'Показатели ФХД &gt;20%'!$V$11:$V$32</definedName>
    <definedName name="B_FHD20_NUMBER_COLUMN_MARKER">'Показатели ФХД &gt;20%'!$D$8</definedName>
    <definedName name="B_FHD20_PART_COLUMN_MARKER">'Показатели ФХД &gt;20%'!$R$8</definedName>
    <definedName name="B_KNE_diff_1">'Показатели КНЭ'!$I$7:$J$9</definedName>
    <definedName name="B_OTEP_diff_1">'Показатели ОТЭП'!$L$10:$L$12</definedName>
    <definedName name="B_OTEP_FLAG_DIFFERENTIATION">'Показатели ОТЭП'!$L$9:$P$9</definedName>
    <definedName name="B_OTEP_HEAT_DATA_TOP80_ACTIVITY">'Показатели ОТЭП'!$L$15:$P$15</definedName>
    <definedName name="BLOCK_BALANCE_INDICATORS">Титульный!$50:$60</definedName>
    <definedName name="BLOCK_BALANCE_TKO_FLAG_TRANS">Титульный!$61:$62</definedName>
    <definedName name="BLOCK_CONNECTION_STATE">Титульный!$48:$49</definedName>
    <definedName name="BLOCK_DIFF_CS">Титульный!$40:$41</definedName>
    <definedName name="BLOCK_DIFFERENTIATION_NOT_TKO">Дифференциация!$J:$M</definedName>
    <definedName name="BLOCK_FIRST_TARIFF">Титульный!$20:$24</definedName>
    <definedName name="BLOCK_FIRST_TARIFF_OREG_PUBL">Титульный!$23:$24</definedName>
    <definedName name="BLOCK_IP_DETAILED_FACT_IST_FIN">'ИП. Детализация'!$AD:$AE</definedName>
    <definedName name="BLOCK_IP_DETAILED_FACT_PERIOD_EVENT">'ИП. Детализация'!$AI:$AK</definedName>
    <definedName name="BLOCK_MAIN_INFO_HEAT">'Общая информация об организации'!$19:$24</definedName>
    <definedName name="BLOCK_MAIN_INFO_NOT_TKO">'Общая информация об организации'!$46:$49</definedName>
    <definedName name="BLOCK_MAIN_INFO_OBJECT_COLDVSNA">'Общая информация по ВД'!$X:$Z</definedName>
    <definedName name="BLOCK_MAIN_INFO_OBJECT_COMM_COLDVSNA">'Общая информация по ВД'!$AG:$AG</definedName>
    <definedName name="BLOCK_MAIN_INFO_OBJECT_COMM_HEAT">'Общая информация по ВД'!$AE:$AE</definedName>
    <definedName name="BLOCK_MAIN_INFO_OBJECT_COMM_HOTVSNA">'Общая информация по ВД'!$AH:$AH</definedName>
    <definedName name="BLOCK_MAIN_INFO_OBJECT_COMM_VOTV">'Общая информация по ВД'!$AF:$AF</definedName>
    <definedName name="BLOCK_MAIN_INFO_OBJECT_HEAT">'Общая информация по ВД'!$H:$R</definedName>
    <definedName name="BLOCK_MAIN_INFO_OBJECT_HOTVSNA">'Общая информация по ВД'!$AB:$AC</definedName>
    <definedName name="BLOCK_MAIN_INFO_OBJECT_VOTV">'Общая информация по ВД'!$T:$V</definedName>
    <definedName name="BLOCK_NOT_ROIV_INDICATORS_1">Титульный!$37:$37</definedName>
    <definedName name="BLOCK_NOT_ROIV_INDICATORS_2">Титульный!$38:$39</definedName>
    <definedName name="BLOCK_NOT_ROIV_INDICATORS_3">Титульный!$63:$65</definedName>
    <definedName name="BLOCK_NOTE_P_TARIFF_A">'ТС. Т-ТЭ | &gt;=25МВт'!$58:$60</definedName>
    <definedName name="BLOCK_NOTE_P_TARIFF_A_COLDVSNA">'ХВС. Т-пит'!$54:$55</definedName>
    <definedName name="BLOCK_NOTE_P_TARIFF_A_HOTVSNA">'ГВС. Т-гор.вода'!$55:$56</definedName>
    <definedName name="BLOCK_NOTE_P_TARIFF_A_VOTV">'ВО. Т-во'!$54:$55</definedName>
    <definedName name="BLOCK_NOTE_P_TARIFF_B">'ТС. Т-ТЭ | ТСО'!$58:$60</definedName>
    <definedName name="BLOCK_NOTE_P_TARIFF_B_COLDVSNA">'ХВС. Т-тех'!$54:$55</definedName>
    <definedName name="BLOCK_NOTE_P_TARIFF_B_HOTVSNA">'ГВС. Т-транс'!$55:$56</definedName>
    <definedName name="BLOCK_NOTE_P_TARIFF_B_VOTV">'ВО. Т-транс'!$54:$55</definedName>
    <definedName name="BLOCK_NOTE_P_TARIFF_C">'ТС. Т-ТН'!$58:$61</definedName>
    <definedName name="BLOCK_NOTE_P_TARIFF_C_COLDVSNA">'ХВС. Т-транс'!$54:$55</definedName>
    <definedName name="BLOCK_NOTE_P_TARIFF_C_HOTVSNA">'ГВС. Т-подкл'!$64:$65</definedName>
    <definedName name="BLOCK_NOTE_P_TARIFF_C_VOTV">'ВО. Т-подкл'!$64:$65</definedName>
    <definedName name="BLOCK_NOTE_P_TARIFF_D">'ТС. Т-гор.вода'!$66:$68</definedName>
    <definedName name="BLOCK_NOTE_P_TARIFF_D_COLDVSNA">'ХВС. Т-подвоз'!$54:$55</definedName>
    <definedName name="BLOCK_NOTE_P_TARIFF_E_COLDVSNA">'ХВС. Т-подкл'!$64:$65</definedName>
    <definedName name="BLOCK_NOTE_P_TARIFF_E1">'ТС. Т-передача ТЭ'!$58:$61</definedName>
    <definedName name="BLOCK_NOTE_P_TARIFF_E2">'ТС. Т-передача ТН'!$58:$61</definedName>
    <definedName name="BLOCK_NOTE_P_TARIFF_F">'ТС. Резерв мощности'!$58:$60</definedName>
    <definedName name="BLOCK_NOTE_P_TARIFF_G">'ТС. Т-подкл'!$63:$65</definedName>
    <definedName name="BLOCK_NOTE_P_TARIFF_H">'ТС. Т-подкл(инд)'!$60:$62</definedName>
    <definedName name="BLOCK_NOTE_P_TARIFF_I">'ТС. Т-ТЭ | предел'!$58:$60</definedName>
    <definedName name="BLOCK_NOTE_P_TARIFF_I_1">'ТС. Т-ТЭ | индикат'!$58:$60</definedName>
    <definedName name="BLOCK_NOTE_R_TARIFF_A">'ТС. Т-ТЭ | &gt;=25МВт'!$61:$64</definedName>
    <definedName name="BLOCK_NOTE_R_TARIFF_A_COLDVSNA">'ХВС. Т-пит'!$56:$57</definedName>
    <definedName name="BLOCK_NOTE_R_TARIFF_A_HOTVSNA">'ГВС. Т-гор.вода'!$57:$58</definedName>
    <definedName name="BLOCK_NOTE_R_TARIFF_A_VOTV">'ВО. Т-во'!$56:$57</definedName>
    <definedName name="BLOCK_NOTE_R_TARIFF_B">'ТС. Т-ТЭ | ТСО'!$61:$64</definedName>
    <definedName name="BLOCK_NOTE_R_TARIFF_B_COLDVSNA">'ХВС. Т-тех'!$56:$57</definedName>
    <definedName name="BLOCK_NOTE_R_TARIFF_B_HOTVSNA">'ГВС. Т-транс'!$57:$58</definedName>
    <definedName name="BLOCK_NOTE_R_TARIFF_B_VOTV">'ВО. Т-транс'!$56:$57</definedName>
    <definedName name="BLOCK_NOTE_R_TARIFF_C">'ТС. Т-ТН'!$62:$65</definedName>
    <definedName name="BLOCK_NOTE_R_TARIFF_C_COLDVSNA">'ХВС. Т-транс'!$56:$57</definedName>
    <definedName name="BLOCK_NOTE_R_TARIFF_C_HOTVSNA">'ГВС. Т-подкл'!$66:$67</definedName>
    <definedName name="BLOCK_NOTE_R_TARIFF_C_VOTV">'ВО. Т-подкл'!$66:$67</definedName>
    <definedName name="BLOCK_NOTE_R_TARIFF_D">'ТС. Т-гор.вода'!$69:$71</definedName>
    <definedName name="BLOCK_NOTE_R_TARIFF_D_COLDVSNA">'ХВС. Т-подвоз'!$56:$57</definedName>
    <definedName name="BLOCK_NOTE_R_TARIFF_E_COLDVSNA">'ХВС. Т-подкл'!$66:$67</definedName>
    <definedName name="BLOCK_NOTE_R_TARIFF_E1">'ТС. Т-передача ТЭ'!$62:$65</definedName>
    <definedName name="BLOCK_NOTE_R_TARIFF_E2">'ТС. Т-передача ТН'!$62:$65</definedName>
    <definedName name="BLOCK_NOTE_R_TARIFF_F">'ТС. Резерв мощности'!$61:$64</definedName>
    <definedName name="BLOCK_NOTE_R_TARIFF_G">'ТС. Т-подкл'!$66:$68</definedName>
    <definedName name="BLOCK_NOTE_R_TARIFF_H">'ТС. Т-подкл(инд)'!$63:$65</definedName>
    <definedName name="BLOCK_NOTE_R_TARIFF_I">'ТС. Т-ТЭ | предел'!$61:$64</definedName>
    <definedName name="BLOCK_NOTE_R_TARIFF_I_1">'ТС. Т-ТЭ | индикат'!$61:$64</definedName>
    <definedName name="BLOCK_PERIOD_DATA">Титульный!$13:$13</definedName>
    <definedName name="BLOCK_PERIOD_QUARTER">Титульный!$15:$15</definedName>
    <definedName name="BLOCK_PERIOD_TWO_DATA">Титульный!$11:$12</definedName>
    <definedName name="BLOCK_PERIOD_YEAR">Титульный!$14:$14</definedName>
    <definedName name="BLOCK_POK_FHD_COLDVSNA_P1">'Показатели ФХД'!$82:$90</definedName>
    <definedName name="BLOCK_POK_FHD_COLDVSNA_P2">'Показатели ФХД'!$115:$119</definedName>
    <definedName name="BLOCK_POK_FHD_HEAT_ONLY_REG_ORG_P1">'Показатели ФХД'!$56:$57</definedName>
    <definedName name="BLOCK_POK_FHD_HEAT_ONLY_REG_ORG_P2">'Показатели ФХД'!$80:$131</definedName>
    <definedName name="BLOCK_POK_FHD_HEAT_P1">'Показатели ФХД'!$33:$40</definedName>
    <definedName name="BLOCK_POK_FHD_HEAT_P2">'Показатели ФХД'!$72:$72</definedName>
    <definedName name="BLOCK_POK_FHD_HEAT_P3">'Показатели ФХД'!$99:$111</definedName>
    <definedName name="BLOCK_POK_FHD_HEAT_P4">'Показатели ФХД'!$113:$113</definedName>
    <definedName name="BLOCK_POK_FHD_HEAT_P5">'Показатели ФХД'!$120:$130</definedName>
    <definedName name="BLOCK_POK_FHD_HEAT_P6">'Показатели ФХД'!$47:$47</definedName>
    <definedName name="BLOCK_POK_FHD_HOTVSNA_P1">'Показатели ФХД'!$41:$43</definedName>
    <definedName name="BLOCK_POK_FHD_HOTVSNA_P2">'Показатели ФХД'!$91:$95</definedName>
    <definedName name="BLOCK_POK_FHD_NOT_HEAT_P1">'Показатели ФХД'!$67:$68</definedName>
    <definedName name="BLOCK_POK_FHD_NOT_HEAT_P2">'Показатели ФХД'!$80:$80</definedName>
    <definedName name="BLOCK_POK_FHD_NOT_HOTVSNA">'Показатели ФХД'!$48:$48</definedName>
    <definedName name="BLOCK_POK_FHD_VOTV_P1">'Показатели ФХД'!$96:$98</definedName>
    <definedName name="BLOCK_POK_FHD_VSNA">'Показатели ФХД'!$114:$114</definedName>
    <definedName name="BLOCK_POK_FHD20_NOT_HEAT">'Показатели ФХД &gt;20%'!$20:$22</definedName>
    <definedName name="BLOCK_POK_KNE_COLDVSNA">'Показатели КНЭ'!$37:$63</definedName>
    <definedName name="BLOCK_POK_KNE_HEAT">'Показатели КНЭ'!$13:$35</definedName>
    <definedName name="BLOCK_POK_KNE_HOTVSNA">'Показатели КНЭ'!$65:$75</definedName>
    <definedName name="BLOCK_POK_KNE_VOTV">'Показатели КНЭ'!$77:$100</definedName>
    <definedName name="BLOCK_PRICE_INDICATORS_HEAT">Титульный!$42:$47</definedName>
    <definedName name="BLOCK_PRICE_INDICATORS_LEVEL">Титульный!$43:$44</definedName>
    <definedName name="BLOCK_PRICE_IST_TE">'Перечень тарифов'!$S:$V</definedName>
    <definedName name="BLOCK_PRICE_REQUEST">Титульный!$20:$24</definedName>
    <definedName name="BLOCK_PT_COLDVSNA">'Перечень тарифов'!$79:$103</definedName>
    <definedName name="BLOCK_PT_HEAT">'Перечень тарифов'!$13:$77</definedName>
    <definedName name="BLOCK_PT_HEAT_NOT_R">'Перечень тарифов'!$63:$67</definedName>
    <definedName name="BLOCK_PT_HEAT_NOT_R_TMP">'Перечень тарифов'!$58:$62</definedName>
    <definedName name="BLOCK_PT_HEAT_PHEAT">'Перечень тарифов'!$23:$27</definedName>
    <definedName name="BLOCK_PT_HEAT_PHEAT_HIDDEN_FORMULAS">'Перечень тарифов'!$Z$23:$AQ$23</definedName>
    <definedName name="BLOCK_PT_HEAT_RHEAT">'Перечень тарифов'!$18:$22</definedName>
    <definedName name="BLOCK_PT_HEAT_RHEAT_HIDDEN_FORMULAS">'Перечень тарифов'!$Z$18:$AQ$18</definedName>
    <definedName name="BLOCK_PT_HOTVSNA">'Перечень тарифов'!$105:$119</definedName>
    <definedName name="BLOCK_PT_VOTV">'Перечень тарифов'!$121:$135</definedName>
    <definedName name="BLOCK_TABLE_P_TARIFF_A">'ТС. Т-ТЭ | &gt;=25МВт'!$28:$32</definedName>
    <definedName name="BLOCK_TABLE_P_TARIFF_A_COLDVSNA">'ХВС. Т-пит'!$26:$30</definedName>
    <definedName name="BLOCK_TABLE_P_TARIFF_A_HOTVSNA">'ГВС. Т-гор.вода'!$26:$30</definedName>
    <definedName name="BLOCK_TABLE_P_TARIFF_A_VOTV">'ВО. Т-во'!$26:$30</definedName>
    <definedName name="BLOCK_TABLE_P_TARIFF_B">'ТС. Т-ТЭ | ТСО'!$28:$32</definedName>
    <definedName name="BLOCK_TABLE_P_TARIFF_B_COLDVSNA">'ХВС. Т-тех'!$26:$30</definedName>
    <definedName name="BLOCK_TABLE_P_TARIFF_B_HOTVSNA">'ГВС. Т-транс'!$26:$30</definedName>
    <definedName name="BLOCK_TABLE_P_TARIFF_B_VOTV">'ВО. Т-транс'!$26:$30</definedName>
    <definedName name="BLOCK_TABLE_P_TARIFF_C">'ТС. Т-ТН'!$28:$32</definedName>
    <definedName name="BLOCK_TABLE_P_TARIFF_C_COLDVSNA">'ХВС. Т-транс'!$26:$30</definedName>
    <definedName name="BLOCK_TABLE_P_TARIFF_C_HOTVSNA">'ГВС. Т-подкл'!$30:$34</definedName>
    <definedName name="BLOCK_TABLE_P_TARIFF_C_VOTV">'ВО. Т-подкл'!$30:$34</definedName>
    <definedName name="BLOCK_TABLE_P_TARIFF_D">'ТС. Т-гор.вода'!$32:$36</definedName>
    <definedName name="BLOCK_TABLE_P_TARIFF_D_COLDVSNA">'ХВС. Т-подвоз'!$26:$30</definedName>
    <definedName name="BLOCK_TABLE_P_TARIFF_E_COLDVSNA">'ХВС. Т-подкл'!$30:$34</definedName>
    <definedName name="BLOCK_TABLE_P_TARIFF_E1">'ТС. Т-передача ТЭ'!$28:$32</definedName>
    <definedName name="BLOCK_TABLE_P_TARIFF_E2">'ТС. Т-передача ТН'!$28:$32</definedName>
    <definedName name="BLOCK_TABLE_P_TARIFF_F">'ТС. Резерв мощности'!$28:$32</definedName>
    <definedName name="BLOCK_TABLE_P_TARIFF_G">'ТС. Т-подкл'!$29:$33</definedName>
    <definedName name="BLOCK_TABLE_P_TARIFF_H">'ТС. Т-подкл(инд)'!$26:$30</definedName>
    <definedName name="BLOCK_TABLE_P_TARIFF_I">'ТС. Т-ТЭ | предел'!$28:$32</definedName>
    <definedName name="BLOCK_TABLE_P_TARIFF_I_1">'ТС. Т-ТЭ | индикат'!$28:$32</definedName>
    <definedName name="BLOCK_TABLE_R_TARIFF_A">'ТС. Т-ТЭ | &gt;=25МВт'!$33:$35</definedName>
    <definedName name="BLOCK_TABLE_R_TARIFF_A_COLDVSNA">'ХВС. Т-пит'!$31:$33</definedName>
    <definedName name="BLOCK_TABLE_R_TARIFF_A_HOTVSNA">'ГВС. Т-гор.вода'!$31:$33</definedName>
    <definedName name="BLOCK_TABLE_R_TARIFF_A_VOTV">'ВО. Т-во'!$31:$33</definedName>
    <definedName name="BLOCK_TABLE_R_TARIFF_B">'ТС. Т-ТЭ | ТСО'!$33:$35</definedName>
    <definedName name="BLOCK_TABLE_R_TARIFF_B_COLDVSNA">'ХВС. Т-тех'!$31:$33</definedName>
    <definedName name="BLOCK_TABLE_R_TARIFF_B_HOTVSNA">'ГВС. Т-транс'!$31:$33</definedName>
    <definedName name="BLOCK_TABLE_R_TARIFF_B_VOTV">'ВО. Т-транс'!$31:$33</definedName>
    <definedName name="BLOCK_TABLE_R_TARIFF_C">'ТС. Т-ТН'!$33:$35</definedName>
    <definedName name="BLOCK_TABLE_R_TARIFF_C_COLDVSNA">'ХВС. Т-транс'!$31:$33</definedName>
    <definedName name="BLOCK_TABLE_R_TARIFF_C_HOTVSNA">'ГВС. Т-подкл'!$35:$37</definedName>
    <definedName name="BLOCK_TABLE_R_TARIFF_C_VOTV">'ВО. Т-подкл'!$35:$37</definedName>
    <definedName name="BLOCK_TABLE_R_TARIFF_D">'ТС. Т-гор.вода'!$37:$39</definedName>
    <definedName name="BLOCK_TABLE_R_TARIFF_D_COLDVSNA">'ХВС. Т-подвоз'!$31:$33</definedName>
    <definedName name="BLOCK_TABLE_R_TARIFF_E_COLDVSNA">'ХВС. Т-подкл'!$35:$37</definedName>
    <definedName name="BLOCK_TABLE_R_TARIFF_E1">'ТС. Т-передача ТЭ'!$33:$35</definedName>
    <definedName name="BLOCK_TABLE_R_TARIFF_E2">'ТС. Т-передача ТН'!$33:$35</definedName>
    <definedName name="BLOCK_TABLE_R_TARIFF_F">'ТС. Резерв мощности'!$33:$35</definedName>
    <definedName name="BLOCK_TABLE_R_TARIFF_G">'ТС. Т-подкл'!$34:$36</definedName>
    <definedName name="BLOCK_TABLE_R_TARIFF_H">'ТС. Т-подкл(инд)'!$31:$33</definedName>
    <definedName name="BLOCK_TABLE_R_TARIFF_I">'ТС. Т-ТЭ | предел'!$33:$35</definedName>
    <definedName name="BLOCK_TABLE_R_TARIFF_I_1">'ТС. Т-ТЭ | индикат'!$33:$35</definedName>
    <definedName name="BLOCK_TEMPLATES_INVEST_TIT">Титульный!$59:$60</definedName>
    <definedName name="BLOCK_TERMS_HEAT_P1">Договоры!$19:$19</definedName>
    <definedName name="BLOCK_TERMS_NOT_TKO_P1">Договоры!$16:$18</definedName>
    <definedName name="BLOCK_TERMS_NOT_TKO_P2">Договоры!$20:$22</definedName>
    <definedName name="BLOCK_TERMS_TKO_TRANS">Договоры!$23:$26</definedName>
    <definedName name="BLOCK_TERRITORY_INFO">'Список территорий'!$7:$7</definedName>
    <definedName name="BLOCK_TITLE_ROIV_INFO">Титульный!$9:$9</definedName>
    <definedName name="BLOCK_WARM_ORG_TYPE">Титульный!$36:$36</definedName>
    <definedName name="checkCell_List01">'Список территорий'!$E$15:$I$15</definedName>
    <definedName name="checkCell_List07">'Сведения об изменении'!$D$11:$E$13</definedName>
    <definedName name="CLASS_TKO_LIST">TEHSHEET!$AZ$90:$AZ$94</definedName>
    <definedName name="code">Инструкция!$B$2</definedName>
    <definedName name="CodeTemplateList">TEHSHEET!$F$46:$F$53</definedName>
    <definedName name="COLDVSNA_FIN_SRC_LIST">TEHSHEET!$BJ$4:$BJ$34</definedName>
    <definedName name="COLDVSNA_FIN_SRC_VLD_LIST">TEHSHEET!$BJ$39:$BJ$60</definedName>
    <definedName name="COLDVSNA_IP_EVENT_CI_STAGE_LIST">TEHSHEET!$BJ$97:$BJ$100</definedName>
    <definedName name="COLDVSNA_IP_EVENT_GROUP_LIST">TEHSHEET!$BJ$69:$BJ$76</definedName>
    <definedName name="COLDVSNA_IP_EVENT_SUBGROUP_1_LIST">TEHSHEET!$BJ$80:$BJ$83</definedName>
    <definedName name="COLDVSNA_IP_EVENT_SUBGROUP_3_LIST">TEHSHEET!$BJ$87:$BJ$88</definedName>
    <definedName name="COLDVSNA_IP_EVENT_SUBGROUP_5_LIST">TEHSHEET!$BJ$92:$BJ$93</definedName>
    <definedName name="COLDVSNA_IP_EVENT_TYPE_LIST">TEHSHEET!$BJ$108</definedName>
    <definedName name="COLDVSNA_PT_VED_ID">TEHSHEET!$BT$19:$BT$25</definedName>
    <definedName name="COLDVSNA_PT_VED_NAME">TEHSHEET!$BU$19:$BU$25</definedName>
    <definedName name="COLDVSNA_PT_VED_NAME_LIST">TEHSHEET!$BT$19:$BU$25</definedName>
    <definedName name="COLDVSNA_TARIFF_A_COLDVSNA_ADD_HL_COLUMN_MARKER">'ХВС. Т-пит'!$T$34</definedName>
    <definedName name="COLDVSNA_TARIFF_A_COLDVSNA_DEL_HL_DATA_DIFF_COLUMN_MARKER">'ХВС. Т-пит'!$R$34</definedName>
    <definedName name="COLDVSNA_TARIFF_A_COLDVSNA_DEL_HL_FLAG_DIFF_COLUMN_MARKER">'ХВС. Т-пит'!$P$34</definedName>
    <definedName name="COLDVSNA_TARIFF_A_COLDVSNA_DEL_HL_GC_COLUMN_MARKER">'ХВС. Т-пит'!$Q$34</definedName>
    <definedName name="COLDVSNA_TARIFF_A_COLDVSNA_DELETE_PERIOD_ROW_MARKER">'ХВС. Т-пит'!$O$35</definedName>
    <definedName name="COLDVSNA_TARIFF_A_COLDVSNA_FLAG_BLOCK_COLUMN_MARKER">'ХВС. Т-пит'!$L$36</definedName>
    <definedName name="COLDVSNA_TARIFF_A_COLDVSNA_FLAG_BLOCK_ROW_MARKER">'ХВС. Т-пит'!$O$20</definedName>
    <definedName name="COLDVSNA_TARIFF_A_COLDVSNA_NUM_CS_COLUMN_MARKER">'ХВС. Т-пит'!$G$36</definedName>
    <definedName name="COLDVSNA_TARIFF_A_COLDVSNA_NUM_DATA_DIFF_COLUMN_MARKER">'ХВС. Т-пит'!$K$36</definedName>
    <definedName name="COLDVSNA_TARIFF_A_COLDVSNA_NUM_FLAG_DIFF_COLUMN_MARKER">'ХВС. Т-пит'!$I$36</definedName>
    <definedName name="COLDVSNA_TARIFF_A_COLDVSNA_NUM_GC_COLUMN_MARKER">'ХВС. Т-пит'!$J$36</definedName>
    <definedName name="COLDVSNA_TARIFF_A_COLDVSNA_NUM_NTAR_COLUMN_MARKER">'ХВС. Т-пит'!$E$36</definedName>
    <definedName name="COLDVSNA_TARIFF_A_COLDVSNA_NUM_TER_COLUMN_MARKER">'ХВС. Т-пит'!$F$36</definedName>
    <definedName name="COLDVSNA_TARIFF_B_COLDVSNA_ADD_HL_COLUMN_MARKER">'ХВС. Т-тех'!$T$34</definedName>
    <definedName name="COLDVSNA_TARIFF_B_COLDVSNA_DEL_HL_DATA_DIFF_COLUMN_MARKER">'ХВС. Т-тех'!$R$34</definedName>
    <definedName name="COLDVSNA_TARIFF_B_COLDVSNA_DEL_HL_FLAG_DIFF_COLUMN_MARKER">'ХВС. Т-тех'!$P$34</definedName>
    <definedName name="COLDVSNA_TARIFF_B_COLDVSNA_DEL_HL_GC_COLUMN_MARKER">'ХВС. Т-тех'!$Q$34</definedName>
    <definedName name="COLDVSNA_TARIFF_B_COLDVSNA_DELETE_PERIOD_ROW_MARKER">'ХВС. Т-тех'!$O$35</definedName>
    <definedName name="COLDVSNA_TARIFF_B_COLDVSNA_FLAG_BLOCK_COLUMN_MARKER">'ХВС. Т-тех'!$L$36</definedName>
    <definedName name="COLDVSNA_TARIFF_B_COLDVSNA_FLAG_BLOCK_ROW_MARKER">'ХВС. Т-тех'!$O$20</definedName>
    <definedName name="COLDVSNA_TARIFF_B_COLDVSNA_NUM_CS_COLUMN_MARKER">'ХВС. Т-тех'!$G$36</definedName>
    <definedName name="COLDVSNA_TARIFF_B_COLDVSNA_NUM_DATA_DIFF_COLUMN_MARKER">'ХВС. Т-тех'!$K$36</definedName>
    <definedName name="COLDVSNA_TARIFF_B_COLDVSNA_NUM_FLAG_DIFF_COLUMN_MARKER">'ХВС. Т-тех'!$I$36</definedName>
    <definedName name="COLDVSNA_TARIFF_B_COLDVSNA_NUM_GC_COLUMN_MARKER">'ХВС. Т-тех'!$J$36</definedName>
    <definedName name="COLDVSNA_TARIFF_B_COLDVSNA_NUM_NTAR_COLUMN_MARKER">'ХВС. Т-тех'!$E$36</definedName>
    <definedName name="COLDVSNA_TARIFF_B_COLDVSNA_NUM_TER_COLUMN_MARKER">'ХВС. Т-тех'!$F$36</definedName>
    <definedName name="COLDVSNA_TARIFF_C_COLDVSNA_ADD_HL_COLUMN_MARKER">'ХВС. Т-транс'!$T$34</definedName>
    <definedName name="COLDVSNA_TARIFF_C_COLDVSNA_DEL_HL_DATA_DIFF_COLUMN_MARKER">'ХВС. Т-транс'!$R$34</definedName>
    <definedName name="COLDVSNA_TARIFF_C_COLDVSNA_DEL_HL_FLAG_DIFF_COLUMN_MARKER">'ХВС. Т-транс'!$P$34</definedName>
    <definedName name="COLDVSNA_TARIFF_C_COLDVSNA_DEL_HL_GC_COLUMN_MARKER">'ХВС. Т-транс'!$Q$34</definedName>
    <definedName name="COLDVSNA_TARIFF_C_COLDVSNA_DELETE_PERIOD_ROW_MARKER">'ХВС. Т-транс'!$O$35</definedName>
    <definedName name="COLDVSNA_TARIFF_C_COLDVSNA_FLAG_BLOCK_COLUMN_MARKER">'ХВС. Т-транс'!$L$36</definedName>
    <definedName name="COLDVSNA_TARIFF_C_COLDVSNA_FLAG_BLOCK_ROW_MARKER">'ХВС. Т-транс'!$O$20</definedName>
    <definedName name="COLDVSNA_TARIFF_C_COLDVSNA_NUM_CS_COLUMN_MARKER">'ХВС. Т-транс'!$G$36</definedName>
    <definedName name="COLDVSNA_TARIFF_C_COLDVSNA_NUM_DATA_DIFF_COLUMN_MARKER">'ХВС. Т-транс'!$K$36</definedName>
    <definedName name="COLDVSNA_TARIFF_C_COLDVSNA_NUM_FLAG_DIFF_COLUMN_MARKER">'ХВС. Т-транс'!$I$36</definedName>
    <definedName name="COLDVSNA_TARIFF_C_COLDVSNA_NUM_GC_COLUMN_MARKER">'ХВС. Т-транс'!$J$36</definedName>
    <definedName name="COLDVSNA_TARIFF_C_COLDVSNA_NUM_NTAR_COLUMN_MARKER">'ХВС. Т-транс'!$E$36</definedName>
    <definedName name="COLDVSNA_TARIFF_C_COLDVSNA_NUM_TER_COLUMN_MARKER">'ХВС. Т-транс'!$F$36</definedName>
    <definedName name="COLDVSNA_TARIFF_D_COLDVSNA_ADD_HL_COLUMN_MARKER">'ХВС. Т-подвоз'!$T$34</definedName>
    <definedName name="COLDVSNA_TARIFF_D_COLDVSNA_DEL_HL_DATA_DIFF_COLUMN_MARKER">'ХВС. Т-подвоз'!$R$34</definedName>
    <definedName name="COLDVSNA_TARIFF_D_COLDVSNA_DEL_HL_FLAG_DIFF_COLUMN_MARKER">'ХВС. Т-подвоз'!$P$34</definedName>
    <definedName name="COLDVSNA_TARIFF_D_COLDVSNA_DEL_HL_GC_COLUMN_MARKER">'ХВС. Т-подвоз'!$Q$34</definedName>
    <definedName name="COLDVSNA_TARIFF_D_COLDVSNA_DELETE_PERIOD_ROW_MARKER">'ХВС. Т-подвоз'!$O$35</definedName>
    <definedName name="COLDVSNA_TARIFF_D_COLDVSNA_FLAG_BLOCK_COLUMN_MARKER">'ХВС. Т-подвоз'!$L$36</definedName>
    <definedName name="COLDVSNA_TARIFF_D_COLDVSNA_FLAG_BLOCK_ROW_MARKER">'ХВС. Т-подвоз'!$O$20</definedName>
    <definedName name="COLDVSNA_TARIFF_D_COLDVSNA_NUM_CS_COLUMN_MARKER">'ХВС. Т-подвоз'!$G$36</definedName>
    <definedName name="COLDVSNA_TARIFF_D_COLDVSNA_NUM_DATA_DIFF_COLUMN_MARKER">'ХВС. Т-подвоз'!$K$36</definedName>
    <definedName name="COLDVSNA_TARIFF_D_COLDVSNA_NUM_FLAG_DIFF_COLUMN_MARKER">'ХВС. Т-подвоз'!$I$36</definedName>
    <definedName name="COLDVSNA_TARIFF_D_COLDVSNA_NUM_GC_COLUMN_MARKER">'ХВС. Т-подвоз'!$J$36</definedName>
    <definedName name="COLDVSNA_TARIFF_D_COLDVSNA_NUM_NTAR_COLUMN_MARKER">'ХВС. Т-подвоз'!$E$36</definedName>
    <definedName name="COLDVSNA_TARIFF_D_COLDVSNA_NUM_TER_COLUMN_MARKER">'ХВС. Т-подвоз'!$F$36</definedName>
    <definedName name="COLDVSNA_TARIFF_E_COLDVSNA_ADD_HL_COLUMN_MARKER">'ХВС. Т-подкл'!$T$38</definedName>
    <definedName name="COLDVSNA_TARIFF_E_COLDVSNA_ADD_HL_DIAMETERS_COLUMN_MARKER">'ХВС. Т-подкл'!$AK$38</definedName>
    <definedName name="COLDVSNA_TARIFF_E_COLDVSNA_ADD_HL_LEN_COLUMN_MARKER">'ХВС. Т-подкл'!$AO$38</definedName>
    <definedName name="COLDVSNA_TARIFF_E_COLDVSNA_ADD_HL_LOAD_COLUMN_MARKER">'ХВС. Т-подкл'!$AG$38</definedName>
    <definedName name="COLDVSNA_TARIFF_E_COLDVSNA_ADD_HL_NETS_COLUMN_MARKER">'ХВС. Т-подкл'!$AS$38</definedName>
    <definedName name="COLDVSNA_TARIFF_E_COLDVSNA_DEL_HL_DATA_DIFF_COLUMN_MARKER">'ХВС. Т-подкл'!$R$38</definedName>
    <definedName name="COLDVSNA_TARIFF_E_COLDVSNA_DEL_HL_DIAMETERS_COLUMN_MARKER">'ХВС. Т-подкл'!$AI$38</definedName>
    <definedName name="COLDVSNA_TARIFF_E_COLDVSNA_DEL_HL_FLAG_DIFF_COLUMN_MARKER">'ХВС. Т-подкл'!$P$38</definedName>
    <definedName name="COLDVSNA_TARIFF_E_COLDVSNA_DEL_HL_GC_COLUMN_MARKER">'ХВС. Т-подкл'!$Q$38</definedName>
    <definedName name="COLDVSNA_TARIFF_E_COLDVSNA_DEL_HL_LEN_COLUMN_MARKER">'ХВС. Т-подкл'!$AM$38</definedName>
    <definedName name="COLDVSNA_TARIFF_E_COLDVSNA_DEL_HL_LOAD_COLUMN_MARKER">'ХВС. Т-подкл'!$AE$38</definedName>
    <definedName name="COLDVSNA_TARIFF_E_COLDVSNA_DEL_HL_NETS_COLUMN_MARKER">'ХВС. Т-подкл'!$AQ$38</definedName>
    <definedName name="COLDVSNA_TARIFF_E_COLDVSNA_DELETE_PERIOD_ROW_MARKER">'ХВС. Т-подкл'!$O$39</definedName>
    <definedName name="COLDVSNA_TARIFF_E_COLDVSNA_FLAG_BLOCK_COLUMN_MARKER">'ХВС. Т-подкл'!$L$44</definedName>
    <definedName name="COLDVSNA_TARIFF_E_COLDVSNA_FLAG_BLOCK_ROW_MARKER">'ХВС. Т-подкл'!$O$24</definedName>
    <definedName name="COLDVSNA_TARIFF_E_COLDVSNA_NUM_CS_COLUMN_MARKER">'ХВС. Т-подкл'!$G$44</definedName>
    <definedName name="COLDVSNA_TARIFF_E_COLDVSNA_NUM_DATA_DIFF_COLUMN_MARKER">'ХВС. Т-подкл'!$K$44</definedName>
    <definedName name="COLDVSNA_TARIFF_E_COLDVSNA_NUM_DIAMETERS_COLUMN_MARKER">'ХВС. Т-подкл'!$AJ$38</definedName>
    <definedName name="COLDVSNA_TARIFF_E_COLDVSNA_NUM_FLAG_DIFF_COLUMN_MARKER">'ХВС. Т-подкл'!$I$44</definedName>
    <definedName name="COLDVSNA_TARIFF_E_COLDVSNA_NUM_GC_COLUMN_MARKER">'ХВС. Т-подкл'!$J$44</definedName>
    <definedName name="COLDVSNA_TARIFF_E_COLDVSNA_NUM_LEN_COLUMN_MARKER">'ХВС. Т-подкл'!$AN$38</definedName>
    <definedName name="COLDVSNA_TARIFF_E_COLDVSNA_NUM_LOAD_COLUMN_MARKER">'ХВС. Т-подкл'!$AF$38</definedName>
    <definedName name="COLDVSNA_TARIFF_E_COLDVSNA_NUM_NETS_COLUMN_MARKER">'ХВС. Т-подкл'!$AR$38</definedName>
    <definedName name="COLDVSNA_TARIFF_E_COLDVSNA_NUM_NTAR_COLUMN_MARKER">'ХВС. Т-подкл'!$E$44</definedName>
    <definedName name="COLDVSNA_TARIFF_E_COLDVSNA_NUM_TER_COLUMN_MARKER">'ХВС. Т-подкл'!$F$44</definedName>
    <definedName name="cross_without_borders">TEHSHEET!$J$27</definedName>
    <definedName name="CS_ID">TEHSHEET!$E$63</definedName>
    <definedName name="CURRENT_DATE">TEHSHEET!$H$29</definedName>
    <definedName name="CURRENT_YEAR">TEHSHEET!$G$44</definedName>
    <definedName name="DATA_URL">TEHSHEET!$H$32</definedName>
    <definedName name="DESCRIPTION_TERRITORY">REESTR_DS!$B$2</definedName>
    <definedName name="DIFFERENTIATION_AREA">Дифференциация!$I$12:$I$19</definedName>
    <definedName name="DIFFERENTIATION_AREA_ID">Дифференциация!$U$11:$U$20</definedName>
    <definedName name="DIFFERENTIATION_CheckC">Дифференциация!$D$12:$M$19</definedName>
    <definedName name="DIFFERENTIATION_fieldMarker">Дифференциация!$W$12:$W$19</definedName>
    <definedName name="DIFFERENTIATION_ID">TEHSHEET!$E$57</definedName>
    <definedName name="DIFFERENTIATION_ID_DIFF">Дифференциация!$O$12:$O$19</definedName>
    <definedName name="DIFFERENTIATION_SYSTEM">Дифференциация!$M$12:$M$19</definedName>
    <definedName name="DIFFERENTIATION_TARIFF_AREA_ID">'Перечень тарифов'!$Z$12:$Z$137</definedName>
    <definedName name="DIFFERENTIATION_TARIFF_VD_ID">'Перечень тарифов'!$AB$12:$AB$137</definedName>
    <definedName name="DIFFERENTIATION_TARIFF_VTAR_ID">'Перечень тарифов'!$AA$12:$AA$137</definedName>
    <definedName name="DIFFERENTIATION_TKO_ADD_HL_CLASS_TKO_COLUMN_MARKER">'Дифференциация тариф показатель'!$AH$7</definedName>
    <definedName name="DIFFERENTIATION_TKO_ADD_HL_NTAR_COLUMN_MARKER">'Дифференциация тариф показатель'!$J$7</definedName>
    <definedName name="DIFFERENTIATION_TKO_ADD_HL_TER_COLUMN_MARKER">'Дифференциация тариф показатель'!$V$7</definedName>
    <definedName name="DIFFERENTIATION_TKO_ADD_HL_TO_COLUMN_MARKER">'Дифференциация тариф показатель'!$P$7</definedName>
    <definedName name="DIFFERENTIATION_TKO_ADD_HL_TYPE_TKO_COLUMN_MARKER">'Дифференциация тариф показатель'!$AB$7</definedName>
    <definedName name="DIFFERENTIATION_TKO_ADD_HL_VTAR_COLUMN_MARKER">'Дифференциация тариф показатель'!$F$7</definedName>
    <definedName name="DIFFERENTIATION_TKO_AREA_ID">'Дифференциация тариф показатель'!$AK$11:$AK$41</definedName>
    <definedName name="DIFFERENTIATION_TKO_DEL_HL_CLASS_TKO_COLUMN_MARKER">'Дифференциация тариф показатель'!$AF$7</definedName>
    <definedName name="DIFFERENTIATION_TKO_DEL_HL_NTAR_COLUMN_MARKER">'Дифференциация тариф показатель'!$H$7</definedName>
    <definedName name="DIFFERENTIATION_TKO_DEL_HL_TER_COLUMN_MARKER">'Дифференциация тариф показатель'!$T$7</definedName>
    <definedName name="DIFFERENTIATION_TKO_DEL_HL_TO_COLUMN_MARKER">'Дифференциация тариф показатель'!$N$7</definedName>
    <definedName name="DIFFERENTIATION_TKO_DEL_HL_TYPE_TKO_COLUMN_MARKER">'Дифференциация тариф показатель'!$Z$7</definedName>
    <definedName name="DIFFERENTIATION_TKO_FLAG_DIFF_CLASS_TKO_ETC_COLUMN_MARKER">'Дифференциация тариф показатель'!$AE$7</definedName>
    <definedName name="DIFFERENTIATION_TKO_FLAG_DIFF_CLASS_TKO_TARIFF_COLUMN_MARKER">'Дифференциация тариф показатель'!$AD$7</definedName>
    <definedName name="DIFFERENTIATION_TKO_FLAG_DIFF_TER_ETC_COLUMN_MARKER">'Дифференциация тариф показатель'!$S$7</definedName>
    <definedName name="DIFFERENTIATION_TKO_FLAG_DIFF_TER_TARIFF_COLUMN_MARKER">'Дифференциация тариф показатель'!$R$7</definedName>
    <definedName name="DIFFERENTIATION_TKO_FLAG_DIFF_TO_ETC_COLUMN_MARKER">'Дифференциация тариф показатель'!$M$7</definedName>
    <definedName name="DIFFERENTIATION_TKO_FLAG_DIFF_TO_TARIFF_COLUMN_MARKER">'Дифференциация тариф показатель'!$L$7</definedName>
    <definedName name="DIFFERENTIATION_TKO_FLAG_DIFF_TYPE_TKO_ETC_COLUMN_MARKER">'Дифференциация тариф показатель'!$Y$7</definedName>
    <definedName name="DIFFERENTIATION_TKO_FLAG_DIFF_TYPE_TKO_TARIFF_COLUMN_MARKER">'Дифференциация тариф показатель'!$X$7</definedName>
    <definedName name="DIFFERENTIATION_TKO_FLAG_VTAR_COLUMN_MARKER">'Дифференциация тариф показатель'!$G$7</definedName>
    <definedName name="DIFFERENTIATION_TKO_TER_ID">'Дифференциация тариф показатель'!$AL$11:$AL$41</definedName>
    <definedName name="DIFFERENTIATION_UNMERGE_AREA">Дифференциация!$Q$12:$Q$19</definedName>
    <definedName name="DIFFERENTIATION_UNMERGE_SYSTEM">Дифференциация!$R$12:$R$19</definedName>
    <definedName name="DIFFERENTIATION_UNMERGE_VD">Дифференциация!$P$12:$P$19</definedName>
    <definedName name="DIFFERENTIATION_VD">Дифференциация!$E$12:$E$19</definedName>
    <definedName name="DIFFERENTIATION_VD_ID">Дифференциация!$V$11:$V$20</definedName>
    <definedName name="ED_DATE">ЭД!$G$12:$G$13</definedName>
    <definedName name="ED_DATE_PARKING">ЭД!$I$5</definedName>
    <definedName name="ED_LINK">ЭД!$H$12:$H$13</definedName>
    <definedName name="EndDateList">TEHSHEET!$H$46:$H$53</definedName>
    <definedName name="et_B_FHD20_1_HEAT">et_union_hor!$127:$135</definedName>
    <definedName name="et_B_FHD20_1_NOT_HEAT">et_union_hor!$115:$123</definedName>
    <definedName name="et_B_FHD20_2">et_union_hor!$139:$142</definedName>
    <definedName name="et_B_FHD20_3">et_union_hor!$147:$148</definedName>
    <definedName name="et_B_FHD20_4">et_union_hor!$150:$150</definedName>
    <definedName name="et_B_STANDARTS">'Стандарты качества'!$2:$2</definedName>
    <definedName name="et_CHANGE_INFO">et_union_hor!$4:$4</definedName>
    <definedName name="et_COLDVSNA_TARIFF_A_COLDVSNA_CS">'ХВС. Т-пит'!$4:$11</definedName>
    <definedName name="et_COLDVSNA_TARIFF_A_COLDVSNA_DATA_DIFF">'ХВС. Т-пит'!$7:$8</definedName>
    <definedName name="et_COLDVSNA_TARIFF_A_COLDVSNA_FLAG_DIFF">'ХВС. Т-пит'!$5:$10</definedName>
    <definedName name="et_COLDVSNA_TARIFF_A_COLDVSNA_GC">'ХВС. Т-пит'!$6:$9</definedName>
    <definedName name="et_COLDVSNA_TARIFF_A_COLDVSNA_NTAR">'ХВС. Т-пит'!$2:$13</definedName>
    <definedName name="et_COLDVSNA_TARIFF_A_COLDVSNA_PERIOD_COLOR">'ХВС. Т-пит'!$AC$7:$AI$8</definedName>
    <definedName name="et_COLDVSNA_TARIFF_A_COLDVSNA_PERIOD_NOT_COLOR">'ХВС. Т-пит'!$AC$15:$AI$16</definedName>
    <definedName name="et_COLDVSNA_TARIFF_A_COLDVSNA_TER">'ХВС. Т-пит'!$3:$12</definedName>
    <definedName name="et_COLDVSNA_TARIFF_A_COLDVSNA_TN">'ХВС. Т-пит'!$7:$8</definedName>
    <definedName name="et_COLDVSNA_TARIFF_B_COLDVSNA_CS">'ХВС. Т-тех'!$4:$11</definedName>
    <definedName name="et_COLDVSNA_TARIFF_B_COLDVSNA_DATA_DIFF">'ХВС. Т-тех'!$7:$8</definedName>
    <definedName name="et_COLDVSNA_TARIFF_B_COLDVSNA_FLAG_DIFF">'ХВС. Т-тех'!$5:$10</definedName>
    <definedName name="et_COLDVSNA_TARIFF_B_COLDVSNA_GC">'ХВС. Т-тех'!$6:$9</definedName>
    <definedName name="et_COLDVSNA_TARIFF_B_COLDVSNA_NTAR">'ХВС. Т-тех'!$2:$13</definedName>
    <definedName name="et_COLDVSNA_TARIFF_B_COLDVSNA_PERIOD_COLOR">'ХВС. Т-тех'!$AC$7:$AI$8</definedName>
    <definedName name="et_COLDVSNA_TARIFF_B_COLDVSNA_PERIOD_NOT_COLOR">'ХВС. Т-тех'!$AC$15:$AI$16</definedName>
    <definedName name="et_COLDVSNA_TARIFF_B_COLDVSNA_TER">'ХВС. Т-тех'!$3:$12</definedName>
    <definedName name="et_COLDVSNA_TARIFF_C_COLDVSNA_CS">'ХВС. Т-транс'!$4:$11</definedName>
    <definedName name="et_COLDVSNA_TARIFF_C_COLDVSNA_DATA_DIFF">'ХВС. Т-транс'!$7:$8</definedName>
    <definedName name="et_COLDVSNA_TARIFF_C_COLDVSNA_FLAG_DIFF">'ХВС. Т-транс'!$5:$10</definedName>
    <definedName name="et_COLDVSNA_TARIFF_C_COLDVSNA_GC">'ХВС. Т-транс'!$6:$9</definedName>
    <definedName name="et_COLDVSNA_TARIFF_C_COLDVSNA_NTAR">'ХВС. Т-транс'!$2:$13</definedName>
    <definedName name="et_COLDVSNA_TARIFF_C_COLDVSNA_PERIOD_COLOR">'ХВС. Т-транс'!$AC$7:$AI$8</definedName>
    <definedName name="et_COLDVSNA_TARIFF_C_COLDVSNA_PERIOD_NOT_COLOR">'ХВС. Т-транс'!$AC$15:$AI$16</definedName>
    <definedName name="et_COLDVSNA_TARIFF_C_COLDVSNA_TER">'ХВС. Т-транс'!$3:$12</definedName>
    <definedName name="et_COLDVSNA_TARIFF_D_COLDVSNA_CS">'ХВС. Т-подвоз'!$4:$11</definedName>
    <definedName name="et_COLDVSNA_TARIFF_D_COLDVSNA_DATA_DIFF">'ХВС. Т-подвоз'!$7:$8</definedName>
    <definedName name="et_COLDVSNA_TARIFF_D_COLDVSNA_FLAG_DIFF">'ХВС. Т-подвоз'!$5:$10</definedName>
    <definedName name="et_COLDVSNA_TARIFF_D_COLDVSNA_GC">'ХВС. Т-подвоз'!$6:$9</definedName>
    <definedName name="et_COLDVSNA_TARIFF_D_COLDVSNA_NTAR">'ХВС. Т-подвоз'!$2:$13</definedName>
    <definedName name="et_COLDVSNA_TARIFF_D_COLDVSNA_PERIOD_COLOR">'ХВС. Т-подвоз'!$AC$7:$AI$8</definedName>
    <definedName name="et_COLDVSNA_TARIFF_D_COLDVSNA_PERIOD_NOT_COLOR">'ХВС. Т-подвоз'!$AC$15:$AI$16</definedName>
    <definedName name="et_COLDVSNA_TARIFF_D_COLDVSNA_TER">'ХВС. Т-подвоз'!$3:$12</definedName>
    <definedName name="et_COLDVSNA_TARIFF_E_COLDVSNA_CS">'ХВС. Т-подкл'!$4:$16</definedName>
    <definedName name="et_COLDVSNA_TARIFF_E_COLDVSNA_DATA_DIFF">'ХВС. Т-подкл'!$8:$12</definedName>
    <definedName name="et_COLDVSNA_TARIFF_E_COLDVSNA_DIAMETERS">'ХВС. Т-подкл'!$8:$10</definedName>
    <definedName name="et_COLDVSNA_TARIFF_E_COLDVSNA_FLAG_DIFF">'ХВС. Т-подкл'!$6:$14</definedName>
    <definedName name="et_COLDVSNA_TARIFF_E_COLDVSNA_GC">'ХВС. Т-подкл'!$7:$13</definedName>
    <definedName name="et_COLDVSNA_TARIFF_E_COLDVSNA_LEN">'ХВС. Т-подкл'!$8:$9</definedName>
    <definedName name="et_COLDVSNA_TARIFF_E_COLDVSNA_LOAD">'ХВС. Т-подкл'!$8:$11</definedName>
    <definedName name="et_COLDVSNA_TARIFF_E_COLDVSNA_NETS">'ХВС. Т-подкл'!$8:$8</definedName>
    <definedName name="et_COLDVSNA_TARIFF_E_COLDVSNA_NTAR">'ХВС. Т-подкл'!$2:$18</definedName>
    <definedName name="et_COLDVSNA_TARIFF_E_COLDVSNA_PERIOD_COLOR">'ХВС. Т-подкл'!$AT$8:$BA$8</definedName>
    <definedName name="et_COLDVSNA_TARIFF_E_COLDVSNA_PERIOD_NOT_COLOR">'ХВС. Т-подкл'!$AT$20:$BA$20</definedName>
    <definedName name="et_COLDVSNA_TARIFF_E_COLDVSNA_TER">'ХВС. Т-подкл'!$3:$17</definedName>
    <definedName name="et_Comm">et_union_hor!$8:$8</definedName>
    <definedName name="et_DIFFERENTIATION_AREA">et_union_hor!$29:$30</definedName>
    <definedName name="et_DIFFERENTIATION_SYSTEM">et_union_hor!$34:$34</definedName>
    <definedName name="et_DIFFERENTIATION_TARIFF_COLOR">et_union_hor!$H$154:$W$158</definedName>
    <definedName name="et_DIFFERENTIATION_TARIFF_CS">et_union_hor!$169:$170</definedName>
    <definedName name="et_DIFFERENTIATION_TARIFF_IST_TE">et_union_hor!$172:$172</definedName>
    <definedName name="et_DIFFERENTIATION_TARIFF_NOT_COLOR">et_union_hor!$H$194:$W$198</definedName>
    <definedName name="et_DIFFERENTIATION_TARIFF_NOT_HEAT_COLOR">et_union_hor!$H$176:$W$180</definedName>
    <definedName name="et_DIFFERENTIATION_TARIFF_NOT_HEAT_CS">et_union_hor!$191:$192</definedName>
    <definedName name="et_DIFFERENTIATION_TARIFF_NOT_HEAT_NTAR">et_union_hor!$182:$185</definedName>
    <definedName name="et_DIFFERENTIATION_TARIFF_NOT_HEAT_TER">et_union_hor!$187:$189</definedName>
    <definedName name="et_DIFFERENTIATION_TARIFF_NOT_HEAT_VTAR">et_union_hor!$176:$180</definedName>
    <definedName name="et_DIFFERENTIATION_TARIFF_NTAR">et_union_hor!$160:$163</definedName>
    <definedName name="et_DIFFERENTIATION_TARIFF_TER">et_union_hor!$165:$167</definedName>
    <definedName name="et_DIFFERENTIATION_TARIFF_VTAR">et_union_hor!$154:$158</definedName>
    <definedName name="et_DIFFERENTIATION_TKO_CLASS_TKO">et_union_hor!$202:$202</definedName>
    <definedName name="et_DIFFERENTIATION_TKO_COLOR">et_union_hor!$H$202:$AI$207</definedName>
    <definedName name="et_DIFFERENTIATION_TKO_NOT_COLOR">et_union_hor!$H$209:$AI$214</definedName>
    <definedName name="et_DIFFERENTIATION_TKO_NTAR">et_union_hor!$202:$206</definedName>
    <definedName name="et_DIFFERENTIATION_TKO_TER">et_union_hor!$202:$204</definedName>
    <definedName name="et_DIFFERENTIATION_TKO_TO">et_union_hor!$202:$205</definedName>
    <definedName name="et_DIFFERENTIATION_TKO_TYPE_TKO">et_union_hor!$202:$203</definedName>
    <definedName name="et_DIFFERENTIATION_TKO_VTAR">et_union_hor!$202:$207</definedName>
    <definedName name="et_DIFFERENTIATION_VD">et_union_hor!$23:$25</definedName>
    <definedName name="et_ED">et_union_hor!$64:$64</definedName>
    <definedName name="et_HEAT_TARIFF_A_CS">'ТС. Т-ТЭ | &gt;=25МВт'!$4:$13</definedName>
    <definedName name="et_HEAT_TARIFF_A_GC">'ТС. Т-ТЭ | &gt;=25МВт'!$7:$10</definedName>
    <definedName name="et_HEAT_TARIFF_A_IST_TE">'ТС. Т-ТЭ | &gt;=25МВт'!$5:$12</definedName>
    <definedName name="et_HEAT_TARIFF_A_NTAR">'ТС. Т-ТЭ | &gt;=25МВт'!$2:$15</definedName>
    <definedName name="et_HEAT_TARIFF_A_PERIOD_COLOR">'ТС. Т-ТЭ | &gt;=25МВт'!$AD$8:$AK$9</definedName>
    <definedName name="et_HEAT_TARIFF_A_PERIOD_NOT_COLOR">'ТС. Т-ТЭ | &gt;=25МВт'!$AD$17:$AK$18</definedName>
    <definedName name="et_HEAT_TARIFF_A_SCHEME">'ТС. Т-ТЭ | &gt;=25МВт'!$6:$11</definedName>
    <definedName name="et_HEAT_TARIFF_A_TER">'ТС. Т-ТЭ | &gt;=25МВт'!$3:$14</definedName>
    <definedName name="et_HEAT_TARIFF_A_TN">'ТС. Т-ТЭ | &gt;=25МВт'!$8:$9</definedName>
    <definedName name="et_HEAT_TARIFF_B_CS">'ТС. Т-ТЭ | ТСО'!$4:$13</definedName>
    <definedName name="et_HEAT_TARIFF_B_GC">'ТС. Т-ТЭ | ТСО'!$7:$10</definedName>
    <definedName name="et_HEAT_TARIFF_B_IST_TE">'ТС. Т-ТЭ | ТСО'!$5:$12</definedName>
    <definedName name="et_HEAT_TARIFF_B_NTAR">'ТС. Т-ТЭ | ТСО'!$2:$15</definedName>
    <definedName name="et_HEAT_TARIFF_B_PERIOD_COLOR">'ТС. Т-ТЭ | ТСО'!$AD$8:$AK$9</definedName>
    <definedName name="et_HEAT_TARIFF_B_PERIOD_NOT_COLOR">'ТС. Т-ТЭ | ТСО'!$AD$17:$AK$18</definedName>
    <definedName name="et_HEAT_TARIFF_B_SCHEME">'ТС. Т-ТЭ | ТСО'!$6:$11</definedName>
    <definedName name="et_HEAT_TARIFF_B_TER">'ТС. Т-ТЭ | ТСО'!$3:$14</definedName>
    <definedName name="et_HEAT_TARIFF_B_TN">'ТС. Т-ТЭ | ТСО'!$8:$9</definedName>
    <definedName name="et_HEAT_TARIFF_C_CS">'ТС. Т-ТН'!$4:$13</definedName>
    <definedName name="et_HEAT_TARIFF_C_GC">'ТС. Т-ТН'!$7:$10</definedName>
    <definedName name="et_HEAT_TARIFF_C_IST_TE">'ТС. Т-ТН'!$5:$12</definedName>
    <definedName name="et_HEAT_TARIFF_C_NTAR">'ТС. Т-ТН'!$2:$15</definedName>
    <definedName name="et_HEAT_TARIFF_C_PERIOD_COLOR">'ТС. Т-ТН'!$AD$8:$AK$9</definedName>
    <definedName name="et_HEAT_TARIFF_C_PERIOD_NOT_COLOR">'ТС. Т-ТН'!$AD$17:$AK$18</definedName>
    <definedName name="et_HEAT_TARIFF_C_SCHEME">'ТС. Т-ТН'!$6:$11</definedName>
    <definedName name="et_HEAT_TARIFF_C_TER">'ТС. Т-ТН'!$3:$14</definedName>
    <definedName name="et_HEAT_TARIFF_C_TN">'ТС. Т-ТН'!$8:$9</definedName>
    <definedName name="et_HEAT_TARIFF_D_CONS">'ТС. Т-гор.вода'!$9:$10</definedName>
    <definedName name="et_HEAT_TARIFF_D_CS">'ТС. Т-гор.вода'!$4:$15</definedName>
    <definedName name="et_HEAT_TARIFF_D_GC">'ТС. Т-гор.вода'!$7:$12</definedName>
    <definedName name="et_HEAT_TARIFF_D_IST_TE">'ТС. Т-гор.вода'!$5:$14</definedName>
    <definedName name="et_HEAT_TARIFF_D_NTAR">'ТС. Т-гор.вода'!$2:$17</definedName>
    <definedName name="et_HEAT_TARIFF_D_PERIOD_COLOR">'ТС. Т-гор.вода'!$AG$8:$AO$10</definedName>
    <definedName name="et_HEAT_TARIFF_D_PERIOD_NOT_COLOR">'ТС. Т-гор.вода'!$AG$19:$AO$22</definedName>
    <definedName name="et_HEAT_TARIFF_D_SCHEME">'ТС. Т-гор.вода'!$6:$13</definedName>
    <definedName name="et_HEAT_TARIFF_D_TER">'ТС. Т-гор.вода'!$3:$16</definedName>
    <definedName name="et_HEAT_TARIFF_D_TN">'ТС. Т-гор.вода'!$8:$11</definedName>
    <definedName name="et_HEAT_TARIFF_E1_CS">'ТС. Т-передача ТЭ'!$4:$13</definedName>
    <definedName name="et_HEAT_TARIFF_E1_GC">'ТС. Т-передача ТЭ'!$7:$10</definedName>
    <definedName name="et_HEAT_TARIFF_E1_IST_TE">'ТС. Т-передача ТЭ'!$5:$12</definedName>
    <definedName name="et_HEAT_TARIFF_E1_NTAR">'ТС. Т-передача ТЭ'!$2:$15</definedName>
    <definedName name="et_HEAT_TARIFF_E1_PERIOD_COLOR">'ТС. Т-передача ТЭ'!$AD$8:$AK$9</definedName>
    <definedName name="et_HEAT_TARIFF_E1_PERIOD_NOT_COLOR">'ТС. Т-передача ТЭ'!$AD$17:$AK$18</definedName>
    <definedName name="et_HEAT_TARIFF_E1_SCHEME">'ТС. Т-передача ТЭ'!$6:$11</definedName>
    <definedName name="et_HEAT_TARIFF_E1_TER">'ТС. Т-передача ТЭ'!$3:$14</definedName>
    <definedName name="et_HEAT_TARIFF_E1_TN">'ТС. Т-передача ТЭ'!$8:$9</definedName>
    <definedName name="et_HEAT_TARIFF_E2_CS">'ТС. Т-передача ТН'!$4:$13</definedName>
    <definedName name="et_HEAT_TARIFF_E2_GC">'ТС. Т-передача ТН'!$7:$10</definedName>
    <definedName name="et_HEAT_TARIFF_E2_IST_TE">'ТС. Т-передача ТН'!$5:$12</definedName>
    <definedName name="et_HEAT_TARIFF_E2_NTAR">'ТС. Т-передача ТН'!$2:$15</definedName>
    <definedName name="et_HEAT_TARIFF_E2_PERIOD_COLOR">'ТС. Т-передача ТН'!$AD$8:$AK$9</definedName>
    <definedName name="et_HEAT_TARIFF_E2_PERIOD_NOT_COLOR">'ТС. Т-передача ТН'!$AD$17:$AK$18</definedName>
    <definedName name="et_HEAT_TARIFF_E2_SCHEME">'ТС. Т-передача ТН'!$6:$11</definedName>
    <definedName name="et_HEAT_TARIFF_E2_TER">'ТС. Т-передача ТН'!$3:$14</definedName>
    <definedName name="et_HEAT_TARIFF_E2_TN">'ТС. Т-передача ТН'!$8:$9</definedName>
    <definedName name="et_HEAT_TARIFF_F_CS">'ТС. Резерв мощности'!$4:$13</definedName>
    <definedName name="et_HEAT_TARIFF_F_GC">'ТС. Резерв мощности'!$7:$10</definedName>
    <definedName name="et_HEAT_TARIFF_F_IST_TE">'ТС. Резерв мощности'!$5:$12</definedName>
    <definedName name="et_HEAT_TARIFF_F_NTAR">'ТС. Резерв мощности'!$2:$15</definedName>
    <definedName name="et_HEAT_TARIFF_F_PERIOD_COLOR">'ТС. Резерв мощности'!$AD$8:$AK$9</definedName>
    <definedName name="et_HEAT_TARIFF_F_PERIOD_NOT_COLOR">'ТС. Резерв мощности'!$AD$17:$AK$18</definedName>
    <definedName name="et_HEAT_TARIFF_F_SCHEME">'ТС. Резерв мощности'!$6:$11</definedName>
    <definedName name="et_HEAT_TARIFF_F_TER">'ТС. Резерв мощности'!$3:$14</definedName>
    <definedName name="et_HEAT_TARIFF_F_TN">'ТС. Резерв мощности'!$8:$9</definedName>
    <definedName name="et_HEAT_TARIFF_G_CS">'ТС. Т-подкл'!$4:$15</definedName>
    <definedName name="et_HEAT_TARIFF_G_DIAMETERS">'ТС. Т-подкл'!$8:$8</definedName>
    <definedName name="et_HEAT_TARIFF_G_GC">'ТС. Т-подкл'!$7:$12</definedName>
    <definedName name="et_HEAT_TARIFF_G_IST_TE">'ТС. Т-подкл'!$5:$14</definedName>
    <definedName name="et_HEAT_TARIFF_G_LOAD">'ТС. Т-подкл'!$8:$10</definedName>
    <definedName name="et_HEAT_TARIFF_G_NETS">'ТС. Т-подкл'!$8:$9</definedName>
    <definedName name="et_HEAT_TARIFF_G_NTAR">'ТС. Т-подкл'!$2:$17</definedName>
    <definedName name="et_HEAT_TARIFF_G_PERIOD_COLOR">'ТС. Т-подкл'!$AN$8:$AS$8</definedName>
    <definedName name="et_HEAT_TARIFF_G_PERIOD_NOT_COLOR">'ТС. Т-подкл'!$AN$19:$AS$19</definedName>
    <definedName name="et_HEAT_TARIFF_G_SCHEME">'ТС. Т-подкл'!$6:$13</definedName>
    <definedName name="et_HEAT_TARIFF_G_TER">'ТС. Т-подкл'!$3:$16</definedName>
    <definedName name="et_HEAT_TARIFF_G_TN">'ТС. Т-подкл'!$8:$11</definedName>
    <definedName name="et_HEAT_TARIFF_H_CS">'ТС. Т-подкл(инд)'!$4:$12</definedName>
    <definedName name="et_HEAT_TARIFF_H_DIAMETERS">'ТС. Т-подкл(инд)'!$8:$8</definedName>
    <definedName name="et_HEAT_TARIFF_H_GC">'ТС. Т-подкл(инд)'!$7:$9</definedName>
    <definedName name="et_HEAT_TARIFF_H_IST_TE">'ТС. Т-подкл(инд)'!$5:$11</definedName>
    <definedName name="et_HEAT_TARIFF_H_LOAD">'ТС. Т-подкл(инд)'!$8:$8</definedName>
    <definedName name="et_HEAT_TARIFF_H_NETS">'ТС. Т-подкл(инд)'!$8:$8</definedName>
    <definedName name="et_HEAT_TARIFF_H_NTAR">'ТС. Т-подкл(инд)'!$2:$14</definedName>
    <definedName name="et_HEAT_TARIFF_H_PERIOD_COLOR">'ТС. Т-подкл(инд)'!$AD$8:$AI$8</definedName>
    <definedName name="et_HEAT_TARIFF_H_PERIOD_NOT_COLOR">'ТС. Т-подкл(инд)'!$AD$16:$AI$16</definedName>
    <definedName name="et_HEAT_TARIFF_H_SCHEME">'ТС. Т-подкл(инд)'!$6:$10</definedName>
    <definedName name="et_HEAT_TARIFF_H_TER">'ТС. Т-подкл(инд)'!$3:$13</definedName>
    <definedName name="et_HEAT_TARIFF_H_TN">'ТС. Т-подкл(инд)'!$8:$8</definedName>
    <definedName name="et_HEAT_TARIFF_I_1_CS">'ТС. Т-ТЭ | индикат'!$4:$13</definedName>
    <definedName name="et_HEAT_TARIFF_I_1_GC">'ТС. Т-ТЭ | индикат'!$7:$10</definedName>
    <definedName name="et_HEAT_TARIFF_I_1_IST_TE">'ТС. Т-ТЭ | индикат'!$5:$12</definedName>
    <definedName name="et_HEAT_TARIFF_I_1_NTAR">'ТС. Т-ТЭ | индикат'!$2:$15</definedName>
    <definedName name="et_HEAT_TARIFF_I_1_PERIOD_COLOR">'ТС. Т-ТЭ | индикат'!$AD$8:$AK$9</definedName>
    <definedName name="et_HEAT_TARIFF_I_1_PERIOD_NOT_COLOR">'ТС. Т-ТЭ | индикат'!$AD$17:$AK$18</definedName>
    <definedName name="et_HEAT_TARIFF_I_1_SCHEME">'ТС. Т-ТЭ | индикат'!$6:$11</definedName>
    <definedName name="et_HEAT_TARIFF_I_1_TER">'ТС. Т-ТЭ | индикат'!$3:$14</definedName>
    <definedName name="et_HEAT_TARIFF_I_1_TN">'ТС. Т-ТЭ | индикат'!$8:$9</definedName>
    <definedName name="et_HEAT_TARIFF_I_CS">'ТС. Т-ТЭ | предел'!$4:$13</definedName>
    <definedName name="et_HEAT_TARIFF_I_GC">'ТС. Т-ТЭ | предел'!$7:$10</definedName>
    <definedName name="et_HEAT_TARIFF_I_IST_TE">'ТС. Т-ТЭ | предел'!$5:$12</definedName>
    <definedName name="et_HEAT_TARIFF_I_NTAR">'ТС. Т-ТЭ | предел'!$2:$15</definedName>
    <definedName name="et_HEAT_TARIFF_I_PERIOD_COLOR">'ТС. Т-ТЭ | предел'!$AD$8:$AK$9</definedName>
    <definedName name="et_HEAT_TARIFF_I_PERIOD_NOT_COLOR">'ТС. Т-ТЭ | предел'!$AD$17:$AK$18</definedName>
    <definedName name="et_HEAT_TARIFF_I_SCHEME">'ТС. Т-ТЭ | предел'!$6:$11</definedName>
    <definedName name="et_HEAT_TARIFF_I_TER">'ТС. Т-ТЭ | предел'!$3:$14</definedName>
    <definedName name="et_HEAT_TARIFF_I_TN">'ТС. Т-ТЭ | предел'!$8:$9</definedName>
    <definedName name="et_hor_B_FHD_1">'Показатели ФХД'!$2:$7</definedName>
    <definedName name="et_hor_B_FHD_2">'Показатели ФХД'!$9:$9</definedName>
    <definedName name="et_hor_B_FHD_3">'Показатели ФХД'!$11:$11</definedName>
    <definedName name="et_hor_B_FHD_4">'Показатели ФХД'!$13:$13</definedName>
    <definedName name="et_hor_B_FHD_5">'Показатели ФХД'!$15:$15</definedName>
    <definedName name="et_hor_B_FHD_6">'Показатели ФХД'!$17:$17</definedName>
    <definedName name="et_hor_B_FHD_TKO_2">'ТКО. Показатели ФХД'!$2:$2</definedName>
    <definedName name="et_hor_B_FHD_TKO_TRANS_2">'ТКО. Транс. Показатели ФХД'!$2:$2</definedName>
    <definedName name="et_hor_B_OTEP_2">'Показатели ОТЭП'!$2:$2</definedName>
    <definedName name="et_hor_Q_LIMIT_1">Ограничения!$3:$4</definedName>
    <definedName name="et_hor_Q_LIMIT_2">Ограничения!$6:$7</definedName>
    <definedName name="et_hor_Q_LIMIT_3">Ограничения!$9:$11</definedName>
    <definedName name="et_hor_Q_LIMIT_4">Ограничения!$13:$14</definedName>
    <definedName name="et_hor_Q_TP_1">ТП!$2:$2</definedName>
    <definedName name="et_HOTVSNA_TARIFF_A_HOTVSNA_CS">'ГВС. Т-гор.вода'!$4:$11</definedName>
    <definedName name="et_HOTVSNA_TARIFF_A_HOTVSNA_DATA_DIFF">'ГВС. Т-гор.вода'!$7:$8</definedName>
    <definedName name="et_HOTVSNA_TARIFF_A_HOTVSNA_FLAG_DIFF">'ГВС. Т-гор.вода'!$5:$10</definedName>
    <definedName name="et_HOTVSNA_TARIFF_A_HOTVSNA_GC">'ГВС. Т-гор.вода'!$6:$9</definedName>
    <definedName name="et_HOTVSNA_TARIFF_A_HOTVSNA_NTAR">'ГВС. Т-гор.вода'!$2:$13</definedName>
    <definedName name="et_HOTVSNA_TARIFF_A_HOTVSNA_PERIOD_COLOR">'ГВС. Т-гор.вода'!$AG$7:$AQ$8</definedName>
    <definedName name="et_HOTVSNA_TARIFF_A_HOTVSNA_PERIOD_NOT_COLOR">'ГВС. Т-гор.вода'!$AG$15:$AQ$16</definedName>
    <definedName name="et_HOTVSNA_TARIFF_A_HOTVSNA_TER">'ГВС. Т-гор.вода'!$3:$12</definedName>
    <definedName name="et_HOTVSNA_TARIFF_A_HOTVSNA_TN">'ГВС. Т-гор.вода'!$7:$8</definedName>
    <definedName name="et_HOTVSNA_TARIFF_B_HOTVSNA_CS">'ГВС. Т-транс'!$4:$11</definedName>
    <definedName name="et_HOTVSNA_TARIFF_B_HOTVSNA_DATA_DIFF">'ГВС. Т-транс'!$7:$8</definedName>
    <definedName name="et_HOTVSNA_TARIFF_B_HOTVSNA_FLAG_DIFF">'ГВС. Т-транс'!$5:$10</definedName>
    <definedName name="et_HOTVSNA_TARIFF_B_HOTVSNA_GC">'ГВС. Т-транс'!$6:$9</definedName>
    <definedName name="et_HOTVSNA_TARIFF_B_HOTVSNA_NTAR">'ГВС. Т-транс'!$2:$13</definedName>
    <definedName name="et_HOTVSNA_TARIFF_B_HOTVSNA_PERIOD_COLOR">'ГВС. Т-транс'!$AG$7:$AQ$8</definedName>
    <definedName name="et_HOTVSNA_TARIFF_B_HOTVSNA_PERIOD_NOT_COLOR">'ГВС. Т-транс'!$AG$15:$AQ$16</definedName>
    <definedName name="et_HOTVSNA_TARIFF_B_HOTVSNA_TER">'ГВС. Т-транс'!$3:$12</definedName>
    <definedName name="et_HOTVSNA_TARIFF_B_HOTVSNA_TN">'ГВС. Т-транс'!$7:$8</definedName>
    <definedName name="et_HOTVSNA_TARIFF_C_HOTVSNA_CS">'ГВС. Т-подкл'!$4:$16</definedName>
    <definedName name="et_HOTVSNA_TARIFF_C_HOTVSNA_DATA_DIFF">'ГВС. Т-подкл'!$8:$12</definedName>
    <definedName name="et_HOTVSNA_TARIFF_C_HOTVSNA_DIAMETERS">'ГВС. Т-подкл'!$8:$10</definedName>
    <definedName name="et_HOTVSNA_TARIFF_C_HOTVSNA_FLAG_DIFF">'ГВС. Т-подкл'!$6:$14</definedName>
    <definedName name="et_HOTVSNA_TARIFF_C_HOTVSNA_GC">'ГВС. Т-подкл'!$7:$13</definedName>
    <definedName name="et_HOTVSNA_TARIFF_C_HOTVSNA_LEN">'ГВС. Т-подкл'!$8:$9</definedName>
    <definedName name="et_HOTVSNA_TARIFF_C_HOTVSNA_LOAD">'ГВС. Т-подкл'!$8:$11</definedName>
    <definedName name="et_HOTVSNA_TARIFF_C_HOTVSNA_NETS">'ГВС. Т-подкл'!$8:$8</definedName>
    <definedName name="et_HOTVSNA_TARIFF_C_HOTVSNA_NTAR">'ГВС. Т-подкл'!$2:$18</definedName>
    <definedName name="et_HOTVSNA_TARIFF_C_HOTVSNA_PERIOD_COLOR">'ГВС. Т-подкл'!$AT$8:$BA$8</definedName>
    <definedName name="et_HOTVSNA_TARIFF_C_HOTVSNA_PERIOD_NOT_COLOR">'ГВС. Т-подкл'!$AT$20:$BA$20</definedName>
    <definedName name="et_HOTVSNA_TARIFF_C_HOTVSNA_TER">'ГВС. Т-подкл'!$3:$17</definedName>
    <definedName name="et_IP_DETAILED">et_union_hor!$81:$87</definedName>
    <definedName name="et_IP_DETAILED_EVENT">et_union_hor!$101:$105</definedName>
    <definedName name="et_IP_DETAILED_IST_FIN">et_union_hor!$97:$97</definedName>
    <definedName name="et_IP_DETAILED_OBJECT">et_union_hor!$91:$93</definedName>
    <definedName name="et_IP_DETAILED_YEAR">et_union_hor!$82:$87</definedName>
    <definedName name="et_IP_MAIN">et_union_hor!$72:$73</definedName>
    <definedName name="et_IP_MAIN_PROPERTY">et_union_hor!$77:$77</definedName>
    <definedName name="et_IP_QRE">et_union_hor!$109:$111</definedName>
    <definedName name="et_IP_QRE_CLAIM">et_union_hor!$110:$110</definedName>
    <definedName name="et_List02">et_union_hor!$154:$158</definedName>
    <definedName name="et_List02_1_wd">et_union_hor!$194:$197</definedName>
    <definedName name="et_List02_2_wd">et_union_hor!$194:$196</definedName>
    <definedName name="et_List02_3_wd">et_union_hor!$194:$195</definedName>
    <definedName name="et_List02_4_wd">et_union_hor!$194:$194</definedName>
    <definedName name="et_List02_changeColor_1">et_union_hor!$J$154:$J$157</definedName>
    <definedName name="et_List02_changeColor_1_wd">et_union_hor!$J$194:$J$197</definedName>
    <definedName name="et_List02_changeColor_2">et_union_hor!$N$154:$N$156</definedName>
    <definedName name="et_List02_changeColor_2_wd">et_union_hor!$N$194:$N$196</definedName>
    <definedName name="et_List02_changeColor_3">et_union_hor!$R$154:$R$155</definedName>
    <definedName name="et_List02_changeColor_3_wd">et_union_hor!$R$194:$R$195</definedName>
    <definedName name="et_List02_changeColor_4">et_union_hor!$V$154</definedName>
    <definedName name="et_List02_changeColor_4_wd">et_union_hor!$V$194</definedName>
    <definedName name="et_List02_wd">et_union_hor!$194:$198</definedName>
    <definedName name="et_OFFER_p1">Предложение!$8:$8</definedName>
    <definedName name="et_OFFER_p1_0">Предложение!$2:$3</definedName>
    <definedName name="et_OFFER_p2">Предложение!$10:$10</definedName>
    <definedName name="et_OFFER_p2_0">Предложение!$5:$6</definedName>
    <definedName name="et_ORG_INFO_1">et_union_hor!$39:$39</definedName>
    <definedName name="et_ORG_INFO_2">et_union_hor!$43:$43</definedName>
    <definedName name="et_ORG_INFO_3">et_union_hor!$47:$51</definedName>
    <definedName name="et_ORG_TERRITORY_MO">et_union_hor!$56:$56</definedName>
    <definedName name="et_ORG_TERRITORY_MO_FLAG_INTERNET">et_union_hor!$J$56</definedName>
    <definedName name="et_ORG_TERRITORY_MO_LINK">et_union_hor!$K$56</definedName>
    <definedName name="et_ORG_VD">et_union_hor!$60:$60</definedName>
    <definedName name="et_ORG_VD_COLDVSNA">et_union_hor!$X$60:$Z$60</definedName>
    <definedName name="et_ORG_VD_FIRST_SYSTEM">et_union_hor!$E$60</definedName>
    <definedName name="et_ORG_VD_HEAT">et_union_hor!$H$60:$R$60</definedName>
    <definedName name="et_ORG_VD_HOTVSNA">et_union_hor!$AB$60:$AC$60</definedName>
    <definedName name="et_ORG_VD_TKO_ACTIVITY">'Виды объектов'!$2:$3</definedName>
    <definedName name="et_ORG_VD_TKO_TYPE_OBJECT">'Виды объектов'!$2:$2</definedName>
    <definedName name="et_ORG_VD_VOTV">et_union_hor!$T$60:$V$60</definedName>
    <definedName name="et_P_PROCEDURE_TC_1">'Порядок ТП'!$2:$2</definedName>
    <definedName name="et_P_PROCEDURE_TC_2">'Порядок ТП'!$4:$4</definedName>
    <definedName name="et_P_PROCEDURE_TC_3">'Порядок ТП'!$6:$6</definedName>
    <definedName name="et_P_PROCEDURE_TC_4">'Порядок ТП'!$8:$8</definedName>
    <definedName name="et_P_PROCEDURE_TC_5">'Порядок ТП'!$10:$10</definedName>
    <definedName name="et_P_T_TERMS">et_union_hor!$68:$68</definedName>
    <definedName name="et_Q_TP_DIFFERENTIATION">ТП!$G:$G</definedName>
    <definedName name="et_QRE">et_union_hor!$109:$111</definedName>
    <definedName name="et_QRE_CLAIM">et_union_hor!$110:$110</definedName>
    <definedName name="et_R_B_Purch">'Сведения о закупках'!$2:$2</definedName>
    <definedName name="et_ROIV_CASE_case">'Дела об установлении тарифов'!$2:$2</definedName>
    <definedName name="et_ROIV_CASE_PUC_case">'Дела об утверждении ПУЦ'!$2:$2</definedName>
    <definedName name="et_ROIV_INFO_phone">'Орган регулирования'!$2:$2</definedName>
    <definedName name="et_ROIV_ORG_org">'Перечень организаций'!$2:$2</definedName>
    <definedName name="et_ROIV_OTV_DL">'Привлечение к ответственности'!$5:$5</definedName>
    <definedName name="et_ROIV_OTV_org">'Привлечение к ответственности'!$2:$3</definedName>
    <definedName name="et_TERMS">et_union_hor!$68:$68</definedName>
    <definedName name="et_TERRITORY_AREA">et_union_hor!$13:$15</definedName>
    <definedName name="et_TERRITORY_MO">et_union_hor!$19:$19</definedName>
    <definedName name="et_ver_B_FHD_DIFFERENTIATION">'Показатели ФХД'!$H:$H</definedName>
    <definedName name="et_ver_B_FHD_TKO_DIFFERENTIATION">'ТКО. Показатели ФХД'!$H:$H</definedName>
    <definedName name="et_ver_B_FHD_TKO_TRANS_DIFFERENTIATION">'ТКО. Транс. Показатели ФХД'!$H:$H</definedName>
    <definedName name="et_ver_B_KNE_DIFFERENTIATION">'Показатели КНЭ'!$G:$H</definedName>
    <definedName name="et_ver_B_OTEP_DIFFERENTIATION">'Показатели ОТЭП'!$L:$L</definedName>
    <definedName name="et_ver_COLDVSNA_TARIFF_A_COLDVSNA">'ХВС. Т-пит'!$V:$AB</definedName>
    <definedName name="et_ver_COLDVSNA_TARIFF_B_COLDVSNA">'ХВС. Т-тех'!$V:$AB</definedName>
    <definedName name="et_ver_COLDVSNA_TARIFF_C_COLDVSNA">'ХВС. Т-транс'!$V:$AB</definedName>
    <definedName name="et_ver_COLDVSNA_TARIFF_D_COLDVSNA">'ХВС. Т-подвоз'!$V:$AB</definedName>
    <definedName name="et_ver_COLDVSNA_TARIFF_E_COLDVSNA">'ХВС. Т-подкл'!$V:$AC</definedName>
    <definedName name="et_ver_HEAT_TARIFF_A">'ТС. Т-ТЭ | &gt;=25МВт'!$V:$AC</definedName>
    <definedName name="et_ver_HEAT_TARIFF_B">'ТС. Т-ТЭ | ТСО'!$V:$AC</definedName>
    <definedName name="et_ver_HEAT_TARIFF_C">'ТС. Т-ТН'!$V:$AC</definedName>
    <definedName name="et_ver_HEAT_TARIFF_D">'ТС. Т-гор.вода'!$X:$AF</definedName>
    <definedName name="et_ver_HEAT_TARIFF_E1">'ТС. Т-передача ТЭ'!$V:$AC</definedName>
    <definedName name="et_ver_HEAT_TARIFF_E2">'ТС. Т-передача ТН'!$V:$AC</definedName>
    <definedName name="et_ver_HEAT_TARIFF_F">'ТС. Резерв мощности'!$V:$AC</definedName>
    <definedName name="et_ver_HEAT_TARIFF_G">'ТС. Т-подкл'!$V:$AA</definedName>
    <definedName name="et_ver_HEAT_TARIFF_H">'ТС. Т-подкл(инд)'!$V:$AA</definedName>
    <definedName name="et_ver_HEAT_TARIFF_I">'ТС. Т-ТЭ | предел'!$V:$AC</definedName>
    <definedName name="et_ver_HEAT_TARIFF_I_1">'ТС. Т-ТЭ | индикат'!$V:$AC</definedName>
    <definedName name="et_ver_HOTVSNA_TARIFF_A_HOTVSNA">'ГВС. Т-гор.вода'!$V:$AF</definedName>
    <definedName name="et_ver_HOTVSNA_TARIFF_B_HOTVSNA">'ГВС. Т-транс'!$V:$AF</definedName>
    <definedName name="et_ver_HOTVSNA_TARIFF_C_HOTVSNA">'ГВС. Т-подкл'!$V:$AC</definedName>
    <definedName name="et_ver_IP_FIN_PLAN">'ИП. Финансовый план'!$H:$J</definedName>
    <definedName name="et_ver_IP_FIN_PLAN_YEAR">'ИП. Финансовый план'!$I:$I</definedName>
    <definedName name="et_ver_Q_LIMIT_DIFFERENTIATION">Ограничения!$G:$H</definedName>
    <definedName name="et_ver_Q_PH_DIFFERENTIATION">'Потребительские характеристики'!$G:$H</definedName>
    <definedName name="et_ver_Q_TP_DIFFERENTIATION">ТП!$G:$G</definedName>
    <definedName name="et_ver_VOTV_TARIFF_A_VOTV">'ВО. Т-во'!$V:$AB</definedName>
    <definedName name="et_ver_VOTV_TARIFF_B_VOTV">'ВО. Т-транс'!$V:$AB</definedName>
    <definedName name="et_ver_VOTV_TARIFF_C_VOTV">'ВО. Т-подкл'!$V:$AC</definedName>
    <definedName name="et_VOTV_TARIFF_A_VOTV_CS">'ВО. Т-во'!$4:$11</definedName>
    <definedName name="et_VOTV_TARIFF_A_VOTV_DATA_DIFF">'ВО. Т-во'!$7:$8</definedName>
    <definedName name="et_VOTV_TARIFF_A_VOTV_FLAG_DIFF">'ВО. Т-во'!$5:$10</definedName>
    <definedName name="et_VOTV_TARIFF_A_VOTV_GC">'ВО. Т-во'!$6:$9</definedName>
    <definedName name="et_VOTV_TARIFF_A_VOTV_NTAR">'ВО. Т-во'!$2:$13</definedName>
    <definedName name="et_VOTV_TARIFF_A_VOTV_PERIOD_COLOR">'ВО. Т-во'!$AC$7:$AI$8</definedName>
    <definedName name="et_VOTV_TARIFF_A_VOTV_PERIOD_NOT_COLOR">'ВО. Т-во'!$AC$15:$AI$16</definedName>
    <definedName name="et_VOTV_TARIFF_A_VOTV_TER">'ВО. Т-во'!$3:$12</definedName>
    <definedName name="et_VOTV_TARIFF_A_VOTV_TN">'ВО. Т-во'!$7:$8</definedName>
    <definedName name="et_VOTV_TARIFF_B_VOTV_CS">'ВО. Т-транс'!$4:$11</definedName>
    <definedName name="et_VOTV_TARIFF_B_VOTV_DATA_DIFF">'ВО. Т-транс'!$7:$8</definedName>
    <definedName name="et_VOTV_TARIFF_B_VOTV_FLAG_DIFF">'ВО. Т-транс'!$5:$10</definedName>
    <definedName name="et_VOTV_TARIFF_B_VOTV_GC">'ВО. Т-транс'!$6:$9</definedName>
    <definedName name="et_VOTV_TARIFF_B_VOTV_NTAR">'ВО. Т-транс'!$2:$13</definedName>
    <definedName name="et_VOTV_TARIFF_B_VOTV_PERIOD_COLOR">'ВО. Т-транс'!$AC$7:$AI$8</definedName>
    <definedName name="et_VOTV_TARIFF_B_VOTV_PERIOD_NOT_COLOR">'ВО. Т-транс'!$AC$15:$AI$16</definedName>
    <definedName name="et_VOTV_TARIFF_B_VOTV_TER">'ВО. Т-транс'!$3:$12</definedName>
    <definedName name="et_VOTV_TARIFF_B_VOTV_TN">'ВО. Т-транс'!$7:$8</definedName>
    <definedName name="et_VOTV_TARIFF_C_VOTV_CS">'ВО. Т-подкл'!$4:$16</definedName>
    <definedName name="et_VOTV_TARIFF_C_VOTV_DATA_DIFF">'ВО. Т-подкл'!$8:$12</definedName>
    <definedName name="et_VOTV_TARIFF_C_VOTV_DIAMETERS">'ВО. Т-подкл'!$8:$10</definedName>
    <definedName name="et_VOTV_TARIFF_C_VOTV_FLAG_DIFF">'ВО. Т-подкл'!$6:$14</definedName>
    <definedName name="et_VOTV_TARIFF_C_VOTV_GC">'ВО. Т-подкл'!$7:$13</definedName>
    <definedName name="et_VOTV_TARIFF_C_VOTV_LEN">'ВО. Т-подкл'!$8:$9</definedName>
    <definedName name="et_VOTV_TARIFF_C_VOTV_LOAD">'ВО. Т-подкл'!$8:$11</definedName>
    <definedName name="et_VOTV_TARIFF_C_VOTV_NETS">'ВО. Т-подкл'!$8:$8</definedName>
    <definedName name="et_VOTV_TARIFF_C_VOTV_NTAR">'ВО. Т-подкл'!$2:$18</definedName>
    <definedName name="et_VOTV_TARIFF_C_VOTV_PERIOD_COLOR">'ВО. Т-подкл'!$AT$8:$BA$8</definedName>
    <definedName name="et_VOTV_TARIFF_C_VOTV_PERIOD_NOT_COLOR">'ВО. Т-подкл'!$AT$20:$BA$20</definedName>
    <definedName name="et_VOTV_TARIFF_C_VOTV_TER">'ВО. Т-подкл'!$3:$17</definedName>
    <definedName name="f_quart">Титульный!$F$15</definedName>
    <definedName name="f_year">Титульный!$F$14</definedName>
    <definedName name="FHD_NAME_FORM">DATA_FORMS!$C$6</definedName>
    <definedName name="FHD_NOTE_P_1">DATA_NPA!$N$18</definedName>
    <definedName name="FHD_NOTE_P_10">DATA_NPA!$N$27</definedName>
    <definedName name="FHD_NOTE_P_11">DATA_NPA!$N$28</definedName>
    <definedName name="FHD_NOTE_P_12">DATA_NPA!$N$29</definedName>
    <definedName name="FHD_NOTE_P_13">DATA_NPA!$N$30</definedName>
    <definedName name="FHD_NOTE_P_14">DATA_NPA!$N$31</definedName>
    <definedName name="FHD_NOTE_P_15">DATA_NPA!$N$32</definedName>
    <definedName name="FHD_NOTE_P_16">DATA_NPA!$N$33</definedName>
    <definedName name="FHD_NOTE_P_17">DATA_NPA!$N$34</definedName>
    <definedName name="FHD_NOTE_P_18">DATA_NPA!$N$35</definedName>
    <definedName name="FHD_NOTE_P_19">DATA_NPA!$N$36</definedName>
    <definedName name="FHD_NOTE_P_2">DATA_NPA!$N$19</definedName>
    <definedName name="FHD_NOTE_P_20">DATA_NPA!$N$37</definedName>
    <definedName name="FHD_NOTE_P_21">DATA_NPA!$N$38</definedName>
    <definedName name="FHD_NOTE_P_22">DATA_NPA!$N$39</definedName>
    <definedName name="FHD_NOTE_P_23">DATA_NPA!$N$40</definedName>
    <definedName name="FHD_NOTE_P_24">DATA_NPA!$N$41</definedName>
    <definedName name="FHD_NOTE_P_25">DATA_NPA!$N$42</definedName>
    <definedName name="FHD_NOTE_P_26">DATA_NPA!$N$43</definedName>
    <definedName name="FHD_NOTE_P_27">DATA_NPA!$N$44</definedName>
    <definedName name="FHD_NOTE_P_28">DATA_NPA!$N$45</definedName>
    <definedName name="FHD_NOTE_P_29">DATA_NPA!$N$46</definedName>
    <definedName name="FHD_NOTE_P_3">DATA_NPA!$N$20</definedName>
    <definedName name="FHD_NOTE_P_30">DATA_NPA!$N$47</definedName>
    <definedName name="FHD_NOTE_P_31">DATA_NPA!$N$48</definedName>
    <definedName name="FHD_NOTE_P_32">DATA_NPA!$N$49</definedName>
    <definedName name="FHD_NOTE_P_33">DATA_NPA!$N$50</definedName>
    <definedName name="FHD_NOTE_P_34">DATA_NPA!$N$51</definedName>
    <definedName name="FHD_NOTE_P_35">DATA_NPA!$N$52</definedName>
    <definedName name="FHD_NOTE_P_36">DATA_NPA!$N$53</definedName>
    <definedName name="FHD_NOTE_P_37">DATA_NPA!$N$54</definedName>
    <definedName name="FHD_NOTE_P_38">DATA_NPA!$N$55</definedName>
    <definedName name="FHD_NOTE_P_39">DATA_NPA!$N$56</definedName>
    <definedName name="FHD_NOTE_P_4">DATA_NPA!$N$21</definedName>
    <definedName name="FHD_NOTE_P_40">DATA_NPA!$N$57</definedName>
    <definedName name="FHD_NOTE_P_41">DATA_NPA!$N$58</definedName>
    <definedName name="FHD_NOTE_P_42">DATA_NPA!$N$59</definedName>
    <definedName name="FHD_NOTE_P_43">DATA_NPA!$N$60</definedName>
    <definedName name="FHD_NOTE_P_44">DATA_NPA!$N$61</definedName>
    <definedName name="FHD_NOTE_P_45">DATA_NPA!$N$62</definedName>
    <definedName name="FHD_NOTE_P_46">DATA_NPA!$N$63</definedName>
    <definedName name="FHD_NOTE_P_47">DATA_NPA!$N$64</definedName>
    <definedName name="FHD_NOTE_P_48">DATA_NPA!$N$65</definedName>
    <definedName name="FHD_NOTE_P_49">DATA_NPA!$N$66</definedName>
    <definedName name="FHD_NOTE_P_5">DATA_NPA!$N$22</definedName>
    <definedName name="FHD_NOTE_P_50">DATA_NPA!$N$67</definedName>
    <definedName name="FHD_NOTE_P_51">DATA_NPA!$N$68</definedName>
    <definedName name="FHD_NOTE_P_52">DATA_NPA!$N$69</definedName>
    <definedName name="FHD_NOTE_P_53">DATA_NPA!$N$70</definedName>
    <definedName name="FHD_NOTE_P_54">DATA_NPA!$N$71</definedName>
    <definedName name="FHD_NOTE_P_55">DATA_NPA!$N$72</definedName>
    <definedName name="FHD_NOTE_P_56">DATA_NPA!$N$73</definedName>
    <definedName name="FHD_NOTE_P_57">DATA_NPA!$N$74</definedName>
    <definedName name="FHD_NOTE_P_58">DATA_NPA!$N$75</definedName>
    <definedName name="FHD_NOTE_P_59">DATA_NPA!$N$76</definedName>
    <definedName name="FHD_NOTE_P_6">DATA_NPA!$N$23</definedName>
    <definedName name="FHD_NOTE_P_60">DATA_NPA!$N$77</definedName>
    <definedName name="FHD_NOTE_P_61">DATA_NPA!$N$78</definedName>
    <definedName name="FHD_NOTE_P_62">DATA_NPA!$N$79</definedName>
    <definedName name="FHD_NOTE_P_63">DATA_NPA!$N$80</definedName>
    <definedName name="FHD_NOTE_P_64">DATA_NPA!$N$81</definedName>
    <definedName name="FHD_NOTE_P_65">DATA_NPA!$N$82</definedName>
    <definedName name="FHD_NOTE_P_66">DATA_NPA!$N$83</definedName>
    <definedName name="FHD_NOTE_P_67">DATA_NPA!$N$84</definedName>
    <definedName name="FHD_NOTE_P_68">DATA_NPA!$N$85</definedName>
    <definedName name="FHD_NOTE_P_69">DATA_NPA!$N$86</definedName>
    <definedName name="FHD_NOTE_P_7">DATA_NPA!$N$24</definedName>
    <definedName name="FHD_NOTE_P_70">DATA_NPA!$N$87</definedName>
    <definedName name="FHD_NOTE_P_71">DATA_NPA!$N$88</definedName>
    <definedName name="FHD_NOTE_P_72">DATA_NPA!$N$89</definedName>
    <definedName name="FHD_NOTE_P_73">DATA_NPA!$N$90</definedName>
    <definedName name="FHD_NOTE_P_74">DATA_NPA!$N$91</definedName>
    <definedName name="FHD_NOTE_P_75">DATA_NPA!$N$92</definedName>
    <definedName name="FHD_NOTE_P_76">DATA_NPA!$N$93</definedName>
    <definedName name="FHD_NOTE_P_77">DATA_NPA!$N$94</definedName>
    <definedName name="FHD_NOTE_P_78">DATA_NPA!$N$95</definedName>
    <definedName name="FHD_NOTE_P_79">DATA_NPA!$N$96</definedName>
    <definedName name="FHD_NOTE_P_8">DATA_NPA!$N$25</definedName>
    <definedName name="FHD_NOTE_P_80">DATA_NPA!$N$97</definedName>
    <definedName name="FHD_NOTE_P_81">DATA_NPA!$N$98</definedName>
    <definedName name="FHD_NOTE_P_82">DATA_NPA!$N$99</definedName>
    <definedName name="FHD_NOTE_P_83">DATA_NPA!$N$100</definedName>
    <definedName name="FHD_NOTE_P_84">DATA_NPA!$N$101</definedName>
    <definedName name="FHD_NOTE_P_9">DATA_NPA!$N$26</definedName>
    <definedName name="FHD_NUM_P_1">DATA_NPA!$L$18</definedName>
    <definedName name="FHD_NUM_P_10">DATA_NPA!$L$27</definedName>
    <definedName name="FHD_NUM_P_11">DATA_NPA!$L$28</definedName>
    <definedName name="FHD_NUM_P_12">DATA_NPA!$L$29</definedName>
    <definedName name="FHD_NUM_P_13">DATA_NPA!$L$30</definedName>
    <definedName name="FHD_NUM_P_14">DATA_NPA!$L$31</definedName>
    <definedName name="FHD_NUM_P_15">DATA_NPA!$L$32</definedName>
    <definedName name="FHD_NUM_P_16">DATA_NPA!$L$33</definedName>
    <definedName name="FHD_NUM_P_17">DATA_NPA!$L$34</definedName>
    <definedName name="FHD_NUM_P_18">DATA_NPA!$L$35</definedName>
    <definedName name="FHD_NUM_P_19">DATA_NPA!$L$36</definedName>
    <definedName name="FHD_NUM_P_2">DATA_NPA!$L$19</definedName>
    <definedName name="FHD_NUM_P_20">DATA_NPA!$L$37</definedName>
    <definedName name="FHD_NUM_P_21">DATA_NPA!$L$38</definedName>
    <definedName name="FHD_NUM_P_22">DATA_NPA!$L$39</definedName>
    <definedName name="FHD_NUM_P_23">DATA_NPA!$L$40</definedName>
    <definedName name="FHD_NUM_P_24">DATA_NPA!$L$41</definedName>
    <definedName name="FHD_NUM_P_25">DATA_NPA!$L$42</definedName>
    <definedName name="FHD_NUM_P_26">DATA_NPA!$L$43</definedName>
    <definedName name="FHD_NUM_P_27">DATA_NPA!$L$44</definedName>
    <definedName name="FHD_NUM_P_28">DATA_NPA!$L$45</definedName>
    <definedName name="FHD_NUM_P_29">DATA_NPA!$L$46</definedName>
    <definedName name="FHD_NUM_P_3">DATA_NPA!$L$20</definedName>
    <definedName name="FHD_NUM_P_30">DATA_NPA!$L$47</definedName>
    <definedName name="FHD_NUM_P_31">DATA_NPA!$L$48</definedName>
    <definedName name="FHD_NUM_P_32">DATA_NPA!$L$49</definedName>
    <definedName name="FHD_NUM_P_33">DATA_NPA!$L$50</definedName>
    <definedName name="FHD_NUM_P_34">DATA_NPA!$L$51</definedName>
    <definedName name="FHD_NUM_P_35">DATA_NPA!$L$52</definedName>
    <definedName name="FHD_NUM_P_36">DATA_NPA!$L$53</definedName>
    <definedName name="FHD_NUM_P_37">DATA_NPA!$L$54</definedName>
    <definedName name="FHD_NUM_P_38">DATA_NPA!$L$55</definedName>
    <definedName name="FHD_NUM_P_39">DATA_NPA!$L$56</definedName>
    <definedName name="FHD_NUM_P_4">DATA_NPA!$L$21</definedName>
    <definedName name="FHD_NUM_P_40">DATA_NPA!$L$57</definedName>
    <definedName name="FHD_NUM_P_41">DATA_NPA!$L$58</definedName>
    <definedName name="FHD_NUM_P_42">DATA_NPA!$L$59</definedName>
    <definedName name="FHD_NUM_P_43">DATA_NPA!$L$60</definedName>
    <definedName name="FHD_NUM_P_44">DATA_NPA!$L$61</definedName>
    <definedName name="FHD_NUM_P_45">DATA_NPA!$L$62</definedName>
    <definedName name="FHD_NUM_P_46">DATA_NPA!$L$63</definedName>
    <definedName name="FHD_NUM_P_47">DATA_NPA!$L$64</definedName>
    <definedName name="FHD_NUM_P_48">DATA_NPA!$L$65</definedName>
    <definedName name="FHD_NUM_P_49">DATA_NPA!$L$66</definedName>
    <definedName name="FHD_NUM_P_5">DATA_NPA!$L$22</definedName>
    <definedName name="FHD_NUM_P_50">DATA_NPA!$L$67</definedName>
    <definedName name="FHD_NUM_P_51">DATA_NPA!$L$68</definedName>
    <definedName name="FHD_NUM_P_52">DATA_NPA!$L$69</definedName>
    <definedName name="FHD_NUM_P_53">DATA_NPA!$L$70</definedName>
    <definedName name="FHD_NUM_P_54">DATA_NPA!$L$71</definedName>
    <definedName name="FHD_NUM_P_55">DATA_NPA!$L$72</definedName>
    <definedName name="FHD_NUM_P_56">DATA_NPA!$L$73</definedName>
    <definedName name="FHD_NUM_P_57">DATA_NPA!$L$74</definedName>
    <definedName name="FHD_NUM_P_58">DATA_NPA!$L$75</definedName>
    <definedName name="FHD_NUM_P_59">DATA_NPA!$L$76</definedName>
    <definedName name="FHD_NUM_P_6">DATA_NPA!$L$23</definedName>
    <definedName name="FHD_NUM_P_60">DATA_NPA!$L$77</definedName>
    <definedName name="FHD_NUM_P_61">DATA_NPA!$L$78</definedName>
    <definedName name="FHD_NUM_P_62">DATA_NPA!$L$79</definedName>
    <definedName name="FHD_NUM_P_63">DATA_NPA!$L$80</definedName>
    <definedName name="FHD_NUM_P_64">DATA_NPA!$L$81</definedName>
    <definedName name="FHD_NUM_P_65">DATA_NPA!$L$82</definedName>
    <definedName name="FHD_NUM_P_66">DATA_NPA!$L$83</definedName>
    <definedName name="FHD_NUM_P_67">DATA_NPA!$L$84</definedName>
    <definedName name="FHD_NUM_P_68">DATA_NPA!$L$85</definedName>
    <definedName name="FHD_NUM_P_69">DATA_NPA!$L$86</definedName>
    <definedName name="FHD_NUM_P_7">DATA_NPA!$L$24</definedName>
    <definedName name="FHD_NUM_P_70">DATA_NPA!$L$87</definedName>
    <definedName name="FHD_NUM_P_71">DATA_NPA!$L$88</definedName>
    <definedName name="FHD_NUM_P_72">DATA_NPA!$L$89</definedName>
    <definedName name="FHD_NUM_P_73">DATA_NPA!$L$90</definedName>
    <definedName name="FHD_NUM_P_74">DATA_NPA!$L$91</definedName>
    <definedName name="FHD_NUM_P_75">DATA_NPA!$L$92</definedName>
    <definedName name="FHD_NUM_P_76">DATA_NPA!$L$93</definedName>
    <definedName name="FHD_NUM_P_77">DATA_NPA!$L$94</definedName>
    <definedName name="FHD_NUM_P_78">DATA_NPA!$L$95</definedName>
    <definedName name="FHD_NUM_P_79">DATA_NPA!$L$96</definedName>
    <definedName name="FHD_NUM_P_8">DATA_NPA!$L$25</definedName>
    <definedName name="FHD_NUM_P_80">DATA_NPA!$L$97</definedName>
    <definedName name="FHD_NUM_P_81">DATA_NPA!$L$98</definedName>
    <definedName name="FHD_NUM_P_82">DATA_NPA!$L$99</definedName>
    <definedName name="FHD_NUM_P_83">DATA_NPA!$L$100</definedName>
    <definedName name="FHD_NUM_P_84">DATA_NPA!$L$101</definedName>
    <definedName name="FHD_NUM_P_9">DATA_NPA!$L$26</definedName>
    <definedName name="FHD_NUM_P_A">DATA_NPA!$L$18</definedName>
    <definedName name="FHD_P_1">DATA_NPA!$M$18</definedName>
    <definedName name="FHD_P_10">DATA_NPA!$M$27</definedName>
    <definedName name="FHD_P_11">DATA_NPA!$M$28</definedName>
    <definedName name="FHD_P_12">DATA_NPA!$M$29</definedName>
    <definedName name="FHD_P_13">DATA_NPA!$M$30</definedName>
    <definedName name="FHD_P_14">DATA_NPA!$M$31</definedName>
    <definedName name="FHD_P_15">DATA_NPA!$M$32</definedName>
    <definedName name="FHD_P_16">DATA_NPA!$M$33</definedName>
    <definedName name="FHD_P_17">DATA_NPA!$M$34</definedName>
    <definedName name="FHD_P_18">DATA_NPA!$M$35</definedName>
    <definedName name="FHD_P_19">DATA_NPA!$M$36</definedName>
    <definedName name="FHD_P_2">DATA_NPA!$M$19</definedName>
    <definedName name="FHD_P_20">DATA_NPA!$M$37</definedName>
    <definedName name="FHD_P_21">DATA_NPA!$M$38</definedName>
    <definedName name="FHD_P_22">DATA_NPA!$M$39</definedName>
    <definedName name="FHD_P_23">DATA_NPA!$M$40</definedName>
    <definedName name="FHD_P_24">DATA_NPA!$M$41</definedName>
    <definedName name="FHD_P_25">DATA_NPA!$M$42</definedName>
    <definedName name="FHD_P_26">DATA_NPA!$M$43</definedName>
    <definedName name="FHD_P_27">DATA_NPA!$M$44</definedName>
    <definedName name="FHD_P_28">DATA_NPA!$M$45</definedName>
    <definedName name="FHD_P_29">DATA_NPA!$M$46</definedName>
    <definedName name="FHD_P_3">DATA_NPA!$M$20</definedName>
    <definedName name="FHD_P_30">DATA_NPA!$M$47</definedName>
    <definedName name="FHD_P_31">DATA_NPA!$M$48</definedName>
    <definedName name="FHD_P_32">DATA_NPA!$M$49</definedName>
    <definedName name="FHD_P_33">DATA_NPA!$M$50</definedName>
    <definedName name="FHD_P_34">DATA_NPA!$M$51</definedName>
    <definedName name="FHD_P_35">DATA_NPA!$M$52</definedName>
    <definedName name="FHD_P_36">DATA_NPA!$M$53</definedName>
    <definedName name="FHD_P_37">DATA_NPA!$M$54</definedName>
    <definedName name="FHD_P_38">DATA_NPA!$M$55</definedName>
    <definedName name="FHD_P_39">DATA_NPA!$M$56</definedName>
    <definedName name="FHD_P_4">DATA_NPA!$M$21</definedName>
    <definedName name="FHD_P_40">DATA_NPA!$M$57</definedName>
    <definedName name="FHD_P_41">DATA_NPA!$M$58</definedName>
    <definedName name="FHD_P_42">DATA_NPA!$M$59</definedName>
    <definedName name="FHD_P_43">DATA_NPA!$M$60</definedName>
    <definedName name="FHD_P_44">DATA_NPA!$M$61</definedName>
    <definedName name="FHD_P_45">DATA_NPA!$M$62</definedName>
    <definedName name="FHD_P_46">DATA_NPA!$M$63</definedName>
    <definedName name="FHD_P_47">DATA_NPA!$M$64</definedName>
    <definedName name="FHD_P_48">DATA_NPA!$M$65</definedName>
    <definedName name="FHD_P_49">DATA_NPA!$M$66</definedName>
    <definedName name="FHD_P_5">DATA_NPA!$M$22</definedName>
    <definedName name="FHD_P_50">DATA_NPA!$M$67</definedName>
    <definedName name="FHD_P_51">DATA_NPA!$M$68</definedName>
    <definedName name="FHD_P_52">DATA_NPA!$M$69</definedName>
    <definedName name="FHD_P_53">DATA_NPA!$M$70</definedName>
    <definedName name="FHD_P_54">DATA_NPA!$M$71</definedName>
    <definedName name="FHD_P_55">DATA_NPA!$M$72</definedName>
    <definedName name="FHD_P_56">DATA_NPA!$M$73</definedName>
    <definedName name="FHD_P_57">DATA_NPA!$M$74</definedName>
    <definedName name="FHD_P_58">DATA_NPA!$M$75</definedName>
    <definedName name="FHD_P_59">DATA_NPA!$M$76</definedName>
    <definedName name="FHD_P_6">DATA_NPA!$M$23</definedName>
    <definedName name="FHD_P_60">DATA_NPA!$M$77</definedName>
    <definedName name="FHD_P_61">DATA_NPA!$M$78</definedName>
    <definedName name="FHD_P_62">DATA_NPA!$M$79</definedName>
    <definedName name="FHD_P_63">DATA_NPA!$M$80</definedName>
    <definedName name="FHD_P_64">DATA_NPA!$M$81</definedName>
    <definedName name="FHD_P_65">DATA_NPA!$M$82</definedName>
    <definedName name="FHD_P_66">DATA_NPA!$M$83</definedName>
    <definedName name="FHD_P_67">DATA_NPA!$M$84</definedName>
    <definedName name="FHD_P_68">DATA_NPA!$M$85</definedName>
    <definedName name="FHD_P_69">DATA_NPA!$M$86</definedName>
    <definedName name="FHD_P_7">DATA_NPA!$M$24</definedName>
    <definedName name="FHD_P_70">DATA_NPA!$M$87</definedName>
    <definedName name="FHD_P_71">DATA_NPA!$M$88</definedName>
    <definedName name="FHD_P_72">DATA_NPA!$M$89</definedName>
    <definedName name="FHD_P_73">DATA_NPA!$M$90</definedName>
    <definedName name="FHD_P_74">DATA_NPA!$M$91</definedName>
    <definedName name="FHD_P_75">DATA_NPA!$M$92</definedName>
    <definedName name="FHD_P_76">DATA_NPA!$M$93</definedName>
    <definedName name="FHD_P_77">DATA_NPA!$M$94</definedName>
    <definedName name="FHD_P_78">DATA_NPA!$M$95</definedName>
    <definedName name="FHD_P_79">DATA_NPA!$M$96</definedName>
    <definedName name="FHD_P_8">DATA_NPA!$M$25</definedName>
    <definedName name="FHD_P_80">DATA_NPA!$M$97</definedName>
    <definedName name="FHD_P_81">DATA_NPA!$M$98</definedName>
    <definedName name="FHD_P_82">DATA_NPA!$M$99</definedName>
    <definedName name="FHD_P_83">DATA_NPA!$M$100</definedName>
    <definedName name="FHD_P_84">DATA_NPA!$M$101</definedName>
    <definedName name="FHD_P_9">DATA_NPA!$M$26</definedName>
    <definedName name="FHD_P_A">DATA_NPA!$M$18</definedName>
    <definedName name="FHD20_NAME_FORM">DATA_FORMS!$C$7</definedName>
    <definedName name="fil">Титульный!$F$32</definedName>
    <definedName name="flag_Q_LIMIT_p3">Ограничения!$F$36:$M$36</definedName>
    <definedName name="flag_Q_LIMIT_p4">Ограничения!$F$38:$M$38</definedName>
    <definedName name="HEAT_FIN_SRC_LIST">TEHSHEET!$BH$4:$BH$26</definedName>
    <definedName name="HEAT_FIN_SRC_VLD_LIST">TEHSHEET!$BH$39:$BH$54</definedName>
    <definedName name="HEAT_IP_EVENT_CI_STAGE_LIST">TEHSHEET!$BH$97:$BH$99</definedName>
    <definedName name="HEAT_IP_EVENT_GROUP_LIST">TEHSHEET!$BH$69:$BH$76</definedName>
    <definedName name="HEAT_IP_EVENT_SUBGROUP_1_LIST">TEHSHEET!$BH$80:$BH$83</definedName>
    <definedName name="HEAT_IP_EVENT_SUBGROUP_3_LIST">TEHSHEET!$BH$87:$BH$88</definedName>
    <definedName name="HEAT_IP_EVENT_SUBGROUP_5_LIST">TEHSHEET!$BH$92:$BH$93</definedName>
    <definedName name="HEAT_IP_EVENT_TYPE_LIST">TEHSHEET!$BH$108:$BH$110</definedName>
    <definedName name="HEAT_PT_SCHEME">TEHSHEET!$BH$115:$BH$118</definedName>
    <definedName name="HEAT_PT_TARIFF_ID">TEHSHEET!$BQ$5:$BQ$14</definedName>
    <definedName name="HEAT_PT_TARIFF_NAME">TEHSHEET!$BR$5:$BR$14</definedName>
    <definedName name="HEAT_PT_TARIFF_NAME_LIST">TEHSHEET!$BQ$5:$BR$14</definedName>
    <definedName name="HEAT_PT_VED_ID">TEHSHEET!$BQ$19:$BQ$28</definedName>
    <definedName name="HEAT_PT_VED_NAME">TEHSHEET!$BR$19:$BR$28</definedName>
    <definedName name="HEAT_PT_VED_NAME_LIST">TEHSHEET!$BQ$19:$BR$28</definedName>
    <definedName name="HEAT_TARIFF_A_ADD_HL_COLUMN_MARKER">'ТС. Т-ТЭ | &gt;=25МВт'!$T$36</definedName>
    <definedName name="HEAT_TARIFF_A_DEL_HL_GC_COLUMN_MARKER">'ТС. Т-ТЭ | &gt;=25МВт'!$Q$36</definedName>
    <definedName name="HEAT_TARIFF_A_DEL_HL_SCHEME_COLUMN_MARKER">'ТС. Т-ТЭ | &gt;=25МВт'!$P$36</definedName>
    <definedName name="HEAT_TARIFF_A_DEL_HL_TN_COLUMN_MARKER">'ТС. Т-ТЭ | &gt;=25МВт'!$R$36</definedName>
    <definedName name="HEAT_TARIFF_A_DELETE_PERIOD_ROW_MARKER">'ТС. Т-ТЭ | &gt;=25МВт'!$O$37</definedName>
    <definedName name="HEAT_TARIFF_A_FLAG_BLOCK_COLUMN_MARKER">'ТС. Т-ТЭ | &gt;=25МВт'!$L$41</definedName>
    <definedName name="HEAT_TARIFF_A_FLAG_BLOCK_ROW_MARKER">'ТС. Т-ТЭ | &gt;=25МВт'!$O$22</definedName>
    <definedName name="HEAT_TARIFF_A_NUM_CS_COLUMN_MARKER">'ТС. Т-ТЭ | &gt;=25МВт'!$G$41</definedName>
    <definedName name="HEAT_TARIFF_A_NUM_GC_COLUMN_MARKER">'ТС. Т-ТЭ | &gt;=25МВт'!$J$41</definedName>
    <definedName name="HEAT_TARIFF_A_NUM_IST_TE_COLUMN_MARKER">'ТС. Т-ТЭ | &gt;=25МВт'!$H$41</definedName>
    <definedName name="HEAT_TARIFF_A_NUM_NTAR_COLUMN_MARKER">'ТС. Т-ТЭ | &gt;=25МВт'!$E$41</definedName>
    <definedName name="HEAT_TARIFF_A_NUM_SCHEME_COLUMN_MARKER">'ТС. Т-ТЭ | &gt;=25МВт'!$I$41</definedName>
    <definedName name="HEAT_TARIFF_A_NUM_TER_COLUMN_MARKER">'ТС. Т-ТЭ | &gt;=25МВт'!$F$41</definedName>
    <definedName name="HEAT_TARIFF_A_NUM_TN_COLUMN_MARKER">'ТС. Т-ТЭ | &gt;=25МВт'!$K$41</definedName>
    <definedName name="HEAT_TARIFF_B_ADD_HL_COLUMN_MARKER">'ТС. Т-ТЭ | ТСО'!$T$36</definedName>
    <definedName name="HEAT_TARIFF_B_DEL_HL_GC_COLUMN_MARKER">'ТС. Т-ТЭ | ТСО'!$Q$36</definedName>
    <definedName name="HEAT_TARIFF_B_DEL_HL_SCHEME_COLUMN_MARKER">'ТС. Т-ТЭ | ТСО'!$P$36</definedName>
    <definedName name="HEAT_TARIFF_B_DEL_HL_TN_COLUMN_MARKER">'ТС. Т-ТЭ | ТСО'!$R$36</definedName>
    <definedName name="HEAT_TARIFF_B_DELETE_PERIOD_ROW_MARKER">'ТС. Т-ТЭ | ТСО'!$O$37</definedName>
    <definedName name="HEAT_TARIFF_B_FLAG_BLOCK_COLUMN_MARKER">'ТС. Т-ТЭ | ТСО'!$L$41</definedName>
    <definedName name="HEAT_TARIFF_B_FLAG_BLOCK_ROW_MARKER">'ТС. Т-ТЭ | ТСО'!$O$22</definedName>
    <definedName name="HEAT_TARIFF_B_NUM_CS_COLUMN_MARKER">'ТС. Т-ТЭ | ТСО'!$G$41</definedName>
    <definedName name="HEAT_TARIFF_B_NUM_GC_COLUMN_MARKER">'ТС. Т-ТЭ | ТСО'!$J$41</definedName>
    <definedName name="HEAT_TARIFF_B_NUM_IST_TE_COLUMN_MARKER">'ТС. Т-ТЭ | ТСО'!$H$41</definedName>
    <definedName name="HEAT_TARIFF_B_NUM_NTAR_COLUMN_MARKER">'ТС. Т-ТЭ | ТСО'!$E$41</definedName>
    <definedName name="HEAT_TARIFF_B_NUM_SCHEME_COLUMN_MARKER">'ТС. Т-ТЭ | ТСО'!$I$41</definedName>
    <definedName name="HEAT_TARIFF_B_NUM_TER_COLUMN_MARKER">'ТС. Т-ТЭ | ТСО'!$F$41</definedName>
    <definedName name="HEAT_TARIFF_B_NUM_TN_COLUMN_MARKER">'ТС. Т-ТЭ | ТСО'!$K$41</definedName>
    <definedName name="HEAT_TARIFF_C_ADD_HL_COLUMN_MARKER">'ТС. Т-ТН'!$T$36</definedName>
    <definedName name="HEAT_TARIFF_C_DEL_HL_GC_COLUMN_MARKER">'ТС. Т-ТН'!$Q$36</definedName>
    <definedName name="HEAT_TARIFF_C_DEL_HL_SCHEME_COLUMN_MARKER">'ТС. Т-ТН'!$P$36</definedName>
    <definedName name="HEAT_TARIFF_C_DEL_HL_TN_COLUMN_MARKER">'ТС. Т-ТН'!$R$36</definedName>
    <definedName name="HEAT_TARIFF_C_DELETE_PERIOD_ROW_MARKER">'ТС. Т-ТН'!$O$37</definedName>
    <definedName name="HEAT_TARIFF_C_FLAG_BLOCK_COLUMN_MARKER">'ТС. Т-ТН'!$L$41</definedName>
    <definedName name="HEAT_TARIFF_C_FLAG_BLOCK_ROW_MARKER">'ТС. Т-ТН'!$O$22</definedName>
    <definedName name="HEAT_TARIFF_C_NUM_CS_COLUMN_MARKER">'ТС. Т-ТН'!$G$41</definedName>
    <definedName name="HEAT_TARIFF_C_NUM_GC_COLUMN_MARKER">'ТС. Т-ТН'!$J$41</definedName>
    <definedName name="HEAT_TARIFF_C_NUM_IST_TE_COLUMN_MARKER">'ТС. Т-ТН'!$H$41</definedName>
    <definedName name="HEAT_TARIFF_C_NUM_NTAR_COLUMN_MARKER">'ТС. Т-ТН'!$E$41</definedName>
    <definedName name="HEAT_TARIFF_C_NUM_SCHEME_COLUMN_MARKER">'ТС. Т-ТН'!$I$41</definedName>
    <definedName name="HEAT_TARIFF_C_NUM_TER_COLUMN_MARKER">'ТС. Т-ТН'!$F$41</definedName>
    <definedName name="HEAT_TARIFF_C_NUM_TN_COLUMN_MARKER">'ТС. Т-ТН'!$K$41</definedName>
    <definedName name="HEAT_TARIFF_D_ADD_HL_COLUMN_MARKER">'ТС. Т-гор.вода'!$V$40</definedName>
    <definedName name="HEAT_TARIFF_D_DEL_HL_CONS_COLUMN_MARKER">'ТС. Т-гор.вода'!$T$40</definedName>
    <definedName name="HEAT_TARIFF_D_DEL_HL_GC_COLUMN_MARKER">'ТС. Т-гор.вода'!$R$40</definedName>
    <definedName name="HEAT_TARIFF_D_DEL_HL_SCHEME_COLUMN_MARKER">'ТС. Т-гор.вода'!$Q$40</definedName>
    <definedName name="HEAT_TARIFF_D_DEL_HL_TN_COLUMN_MARKER">'ТС. Т-гор.вода'!$S$40</definedName>
    <definedName name="HEAT_TARIFF_D_DELETE_PERIOD_ROW_MARKER">'ТС. Т-гор.вода'!$P$41</definedName>
    <definedName name="HEAT_TARIFF_D_FLAG_BLOCK_COLUMN_MARKER">'ТС. Т-гор.вода'!$M$47</definedName>
    <definedName name="HEAT_TARIFF_D_FLAG_BLOCK_ROW_MARKER">'ТС. Т-гор.вода'!$P$26</definedName>
    <definedName name="HEAT_TARIFF_D_NUM_CONS_COLUMN_MARKER">'ТС. Т-гор.вода'!$L$47</definedName>
    <definedName name="HEAT_TARIFF_D_NUM_CS_COLUMN_MARKER">'ТС. Т-гор.вода'!$G$47</definedName>
    <definedName name="HEAT_TARIFF_D_NUM_GC_COLUMN_MARKER">'ТС. Т-гор.вода'!$J$47</definedName>
    <definedName name="HEAT_TARIFF_D_NUM_IST_TE_COLUMN_MARKER">'ТС. Т-гор.вода'!$H$47</definedName>
    <definedName name="HEAT_TARIFF_D_NUM_NTAR_COLUMN_MARKER">'ТС. Т-гор.вода'!$E$47</definedName>
    <definedName name="HEAT_TARIFF_D_NUM_SCHEME_COLUMN_MARKER">'ТС. Т-гор.вода'!$I$47</definedName>
    <definedName name="HEAT_TARIFF_D_NUM_TER_COLUMN_MARKER">'ТС. Т-гор.вода'!$F$47</definedName>
    <definedName name="HEAT_TARIFF_D_NUM_TN_COLUMN_MARKER">'ТС. Т-гор.вода'!$K$47</definedName>
    <definedName name="HEAT_TARIFF_E1_ADD_HL_COLUMN_MARKER">'ТС. Т-передача ТЭ'!$T$36</definedName>
    <definedName name="HEAT_TARIFF_E1_DEL_HL_GC_COLUMN_MARKER">'ТС. Т-передача ТЭ'!$Q$36</definedName>
    <definedName name="HEAT_TARIFF_E1_DEL_HL_SCHEME_COLUMN_MARKER">'ТС. Т-передача ТЭ'!$P$36</definedName>
    <definedName name="HEAT_TARIFF_E1_DEL_HL_TN_COLUMN_MARKER">'ТС. Т-передача ТЭ'!$R$36</definedName>
    <definedName name="HEAT_TARIFF_E1_DELETE_PERIOD_ROW_MARKER">'ТС. Т-передача ТЭ'!$O$37</definedName>
    <definedName name="HEAT_TARIFF_E1_FLAG_BLOCK_COLUMN_MARKER">'ТС. Т-передача ТЭ'!$L$41</definedName>
    <definedName name="HEAT_TARIFF_E1_FLAG_BLOCK_ROW_MARKER">'ТС. Т-передача ТЭ'!$O$22</definedName>
    <definedName name="HEAT_TARIFF_E1_NUM_CS_COLUMN_MARKER">'ТС. Т-передача ТЭ'!$G$41</definedName>
    <definedName name="HEAT_TARIFF_E1_NUM_GC_COLUMN_MARKER">'ТС. Т-передача ТЭ'!$J$41</definedName>
    <definedName name="HEAT_TARIFF_E1_NUM_IST_TE_COLUMN_MARKER">'ТС. Т-передача ТЭ'!$H$41</definedName>
    <definedName name="HEAT_TARIFF_E1_NUM_NTAR_COLUMN_MARKER">'ТС. Т-передача ТЭ'!$E$41</definedName>
    <definedName name="HEAT_TARIFF_E1_NUM_SCHEME_COLUMN_MARKER">'ТС. Т-передача ТЭ'!$I$41</definedName>
    <definedName name="HEAT_TARIFF_E1_NUM_TER_COLUMN_MARKER">'ТС. Т-передача ТЭ'!$F$41</definedName>
    <definedName name="HEAT_TARIFF_E1_NUM_TN_COLUMN_MARKER">'ТС. Т-передача ТЭ'!$K$41</definedName>
    <definedName name="HEAT_TARIFF_E2_ADD_HL_COLUMN_MARKER">'ТС. Т-передача ТН'!$T$36</definedName>
    <definedName name="HEAT_TARIFF_E2_DEL_HL_GC_COLUMN_MARKER">'ТС. Т-передача ТН'!$Q$36</definedName>
    <definedName name="HEAT_TARIFF_E2_DEL_HL_SCHEME_COLUMN_MARKER">'ТС. Т-передача ТН'!$P$36</definedName>
    <definedName name="HEAT_TARIFF_E2_DEL_HL_TN_COLUMN_MARKER">'ТС. Т-передача ТН'!$R$36</definedName>
    <definedName name="HEAT_TARIFF_E2_DELETE_PERIOD_ROW_MARKER">'ТС. Т-передача ТН'!$O$37</definedName>
    <definedName name="HEAT_TARIFF_E2_FLAG_BLOCK_COLUMN_MARKER">'ТС. Т-передача ТН'!$L$41</definedName>
    <definedName name="HEAT_TARIFF_E2_FLAG_BLOCK_ROW_MARKER">'ТС. Т-передача ТН'!$O$22</definedName>
    <definedName name="HEAT_TARIFF_E2_NUM_CS_COLUMN_MARKER">'ТС. Т-передача ТН'!$G$41</definedName>
    <definedName name="HEAT_TARIFF_E2_NUM_GC_COLUMN_MARKER">'ТС. Т-передача ТН'!$J$41</definedName>
    <definedName name="HEAT_TARIFF_E2_NUM_IST_TE_COLUMN_MARKER">'ТС. Т-передача ТН'!$H$41</definedName>
    <definedName name="HEAT_TARIFF_E2_NUM_NTAR_COLUMN_MARKER">'ТС. Т-передача ТН'!$E$41</definedName>
    <definedName name="HEAT_TARIFF_E2_NUM_SCHEME_COLUMN_MARKER">'ТС. Т-передача ТН'!$I$41</definedName>
    <definedName name="HEAT_TARIFF_E2_NUM_TER_COLUMN_MARKER">'ТС. Т-передача ТН'!$F$41</definedName>
    <definedName name="HEAT_TARIFF_E2_NUM_TN_COLUMN_MARKER">'ТС. Т-передача ТН'!$K$41</definedName>
    <definedName name="HEAT_TARIFF_F_ADD_HL_COLUMN_MARKER">'ТС. Резерв мощности'!$T$36</definedName>
    <definedName name="HEAT_TARIFF_F_DEL_HL_GC_COLUMN_MARKER">'ТС. Резерв мощности'!$Q$36</definedName>
    <definedName name="HEAT_TARIFF_F_DEL_HL_SCHEME_COLUMN_MARKER">'ТС. Резерв мощности'!$P$36</definedName>
    <definedName name="HEAT_TARIFF_F_DEL_HL_TN_COLUMN_MARKER">'ТС. Резерв мощности'!$R$36</definedName>
    <definedName name="HEAT_TARIFF_F_DELETE_PERIOD_ROW_MARKER">'ТС. Резерв мощности'!$O$37</definedName>
    <definedName name="HEAT_TARIFF_F_FLAG_BLOCK_COLUMN_MARKER">'ТС. Резерв мощности'!$L$41</definedName>
    <definedName name="HEAT_TARIFF_F_FLAG_BLOCK_ROW_MARKER">'ТС. Резерв мощности'!$O$22</definedName>
    <definedName name="HEAT_TARIFF_F_NUM_CS_COLUMN_MARKER">'ТС. Резерв мощности'!$G$41</definedName>
    <definedName name="HEAT_TARIFF_F_NUM_GC_COLUMN_MARKER">'ТС. Резерв мощности'!$J$41</definedName>
    <definedName name="HEAT_TARIFF_F_NUM_IST_TE_COLUMN_MARKER">'ТС. Резерв мощности'!$H$41</definedName>
    <definedName name="HEAT_TARIFF_F_NUM_NTAR_COLUMN_MARKER">'ТС. Резерв мощности'!$E$41</definedName>
    <definedName name="HEAT_TARIFF_F_NUM_SCHEME_COLUMN_MARKER">'ТС. Резерв мощности'!$I$41</definedName>
    <definedName name="HEAT_TARIFF_F_NUM_TER_COLUMN_MARKER">'ТС. Резерв мощности'!$F$41</definedName>
    <definedName name="HEAT_TARIFF_F_NUM_TN_COLUMN_MARKER">'ТС. Резерв мощности'!$K$41</definedName>
    <definedName name="HEAT_TARIFF_G_ADD_HL_COLUMN_MARKER">'ТС. Т-подкл'!$T$37</definedName>
    <definedName name="HEAT_TARIFF_G_ADD_HL_DIAMETERS_COLUMN_MARKER">'ТС. Т-подкл'!$AM$37</definedName>
    <definedName name="HEAT_TARIFF_G_ADD_HL_LOAD_COLUMN_MARKER">'ТС. Т-подкл'!$AE$37</definedName>
    <definedName name="HEAT_TARIFF_G_ADD_HL_NETS_COLUMN_MARKER">'ТС. Т-подкл'!$AI$37</definedName>
    <definedName name="HEAT_TARIFF_G_DEL_HL_DIAMETERS_COLUMN_MARKER">'ТС. Т-подкл'!$AK$37</definedName>
    <definedName name="HEAT_TARIFF_G_DEL_HL_GC_COLUMN_MARKER">'ТС. Т-подкл'!$Q$37</definedName>
    <definedName name="HEAT_TARIFF_G_DEL_HL_LOAD_COLUMN_MARKER">'ТС. Т-подкл'!$AC$37</definedName>
    <definedName name="HEAT_TARIFF_G_DEL_HL_NETS_COLUMN_MARKER">'ТС. Т-подкл'!$AG$37</definedName>
    <definedName name="HEAT_TARIFF_G_DEL_HL_SCHEME_COLUMN_MARKER">'ТС. Т-подкл'!$P$37</definedName>
    <definedName name="HEAT_TARIFF_G_DEL_HL_TN_COLUMN_MARKER">'ТС. Т-подкл'!$R$37</definedName>
    <definedName name="HEAT_TARIFF_G_DELETE_PERIOD_ROW_MARKER">'ТС. Т-подкл'!$O$38</definedName>
    <definedName name="HEAT_TARIFF_G_FLAG_BLOCK_COLUMN_MARKER">'ТС. Т-подкл'!$L$43</definedName>
    <definedName name="HEAT_TARIFF_G_FLAG_BLOCK_ROW_MARKER">'ТС. Т-подкл'!$O$23</definedName>
    <definedName name="HEAT_TARIFF_G_NUM_CS_COLUMN_MARKER">'ТС. Т-подкл'!$G$43</definedName>
    <definedName name="HEAT_TARIFF_G_NUM_DIAMETERS_COLUMN_MARKER">'ТС. Т-подкл'!$AL$37</definedName>
    <definedName name="HEAT_TARIFF_G_NUM_GC_COLUMN_MARKER">'ТС. Т-подкл'!$J$43</definedName>
    <definedName name="HEAT_TARIFF_G_NUM_IST_TE_COLUMN_MARKER">'ТС. Т-подкл'!$H$43</definedName>
    <definedName name="HEAT_TARIFF_G_NUM_LOAD_COLUMN_MARKER">'ТС. Т-подкл'!$AD$37</definedName>
    <definedName name="HEAT_TARIFF_G_NUM_NETS_COLUMN_MARKER">'ТС. Т-подкл'!$AH$37</definedName>
    <definedName name="HEAT_TARIFF_G_NUM_NTAR_COLUMN_MARKER">'ТС. Т-подкл'!$E$43</definedName>
    <definedName name="HEAT_TARIFF_G_NUM_SCHEME_COLUMN_MARKER">'ТС. Т-подкл'!$I$43</definedName>
    <definedName name="HEAT_TARIFF_G_NUM_TER_COLUMN_MARKER">'ТС. Т-подкл'!$F$43</definedName>
    <definedName name="HEAT_TARIFF_G_NUM_TN_COLUMN_MARKER">'ТС. Т-подкл'!$K$43</definedName>
    <definedName name="HEAT_TARIFF_H_ADD_HL_COLUMN_MARKER">'ТС. Т-подкл(инд)'!$T$34</definedName>
    <definedName name="HEAT_TARIFF_H_ADD_HL_DIAMETERS_COLUMN_MARKER">'ТС. Т-подкл(инд)'!$AO$34</definedName>
    <definedName name="HEAT_TARIFF_H_ADD_HL_LOAD_COLUMN_MARKER">'ТС. Т-подкл(инд)'!$AM$34</definedName>
    <definedName name="HEAT_TARIFF_H_ADD_HL_NETS_COLUMN_MARKER">'ТС. Т-подкл(инд)'!$AN$34</definedName>
    <definedName name="HEAT_TARIFF_H_DEL_HL_DIAMETERS_COLUMN_MARKER">'ТС. Т-подкл(инд)'!$AO$34</definedName>
    <definedName name="HEAT_TARIFF_H_DEL_HL_GC_COLUMN_MARKER">'ТС. Т-подкл(инд)'!$Q$34</definedName>
    <definedName name="HEAT_TARIFF_H_DEL_HL_LOAD_COLUMN_MARKER">'ТС. Т-подкл(инд)'!$AM$34</definedName>
    <definedName name="HEAT_TARIFF_H_DEL_HL_NETS_COLUMN_MARKER">'ТС. Т-подкл(инд)'!$AN$34</definedName>
    <definedName name="HEAT_TARIFF_H_DEL_HL_SCHEME_COLUMN_MARKER">'ТС. Т-подкл(инд)'!$P$34</definedName>
    <definedName name="HEAT_TARIFF_H_DEL_HL_TN_COLUMN_MARKER">'ТС. Т-подкл(инд)'!$R$34</definedName>
    <definedName name="HEAT_TARIFF_H_DELETE_PERIOD_ROW_MARKER">'ТС. Т-подкл(инд)'!$O$35</definedName>
    <definedName name="HEAT_TARIFF_H_FLAG_BLOCK_COLUMN_MARKER">'ТС. Т-подкл(инд)'!$L$40</definedName>
    <definedName name="HEAT_TARIFF_H_FLAG_BLOCK_ROW_MARKER">'ТС. Т-подкл(инд)'!$O$20</definedName>
    <definedName name="HEAT_TARIFF_H_NUM_CS_COLUMN_MARKER">'ТС. Т-подкл(инд)'!$G$40</definedName>
    <definedName name="HEAT_TARIFF_H_NUM_DIAMETERS_COLUMN_MARKER">'ТС. Т-подкл(инд)'!$AO$34</definedName>
    <definedName name="HEAT_TARIFF_H_NUM_GC_COLUMN_MARKER">'ТС. Т-подкл(инд)'!$J$40</definedName>
    <definedName name="HEAT_TARIFF_H_NUM_IST_TE_COLUMN_MARKER">'ТС. Т-подкл(инд)'!$H$40</definedName>
    <definedName name="HEAT_TARIFF_H_NUM_LOAD_COLUMN_MARKER">'ТС. Т-подкл(инд)'!$AM$34</definedName>
    <definedName name="HEAT_TARIFF_H_NUM_NETS_COLUMN_MARKER">'ТС. Т-подкл(инд)'!$AN$34</definedName>
    <definedName name="HEAT_TARIFF_H_NUM_NTAR_COLUMN_MARKER">'ТС. Т-подкл(инд)'!$E$40</definedName>
    <definedName name="HEAT_TARIFF_H_NUM_SCHEME_COLUMN_MARKER">'ТС. Т-подкл(инд)'!$I$40</definedName>
    <definedName name="HEAT_TARIFF_H_NUM_TER_COLUMN_MARKER">'ТС. Т-подкл(инд)'!$F$40</definedName>
    <definedName name="HEAT_TARIFF_H_NUM_TN_COLUMN_MARKER">'ТС. Т-подкл(инд)'!$K$40</definedName>
    <definedName name="HEAT_TARIFF_I_1_ADD_HL_COLUMN_MARKER">'ТС. Т-ТЭ | индикат'!$T$36</definedName>
    <definedName name="HEAT_TARIFF_I_1_DEL_HL_GC_COLUMN_MARKER">'ТС. Т-ТЭ | индикат'!$Q$36</definedName>
    <definedName name="HEAT_TARIFF_I_1_DEL_HL_SCHEME_COLUMN_MARKER">'ТС. Т-ТЭ | индикат'!$P$36</definedName>
    <definedName name="HEAT_TARIFF_I_1_DEL_HL_TN_COLUMN_MARKER">'ТС. Т-ТЭ | индикат'!$R$36</definedName>
    <definedName name="HEAT_TARIFF_I_1_DELETE_PERIOD_ROW_MARKER">'ТС. Т-ТЭ | индикат'!$O$37</definedName>
    <definedName name="HEAT_TARIFF_I_1_FLAG_BLOCK_COLUMN_MARKER">'ТС. Т-ТЭ | индикат'!$L$41</definedName>
    <definedName name="HEAT_TARIFF_I_1_FLAG_BLOCK_ROW_MARKER">'ТС. Т-ТЭ | индикат'!$O$22</definedName>
    <definedName name="HEAT_TARIFF_I_1_NUM_CS_COLUMN_MARKER">'ТС. Т-ТЭ | индикат'!$G$41</definedName>
    <definedName name="HEAT_TARIFF_I_1_NUM_GC_COLUMN_MARKER">'ТС. Т-ТЭ | индикат'!$J$41</definedName>
    <definedName name="HEAT_TARIFF_I_1_NUM_IST_TE_COLUMN_MARKER">'ТС. Т-ТЭ | индикат'!$H$41</definedName>
    <definedName name="HEAT_TARIFF_I_1_NUM_NTAR_COLUMN_MARKER">'ТС. Т-ТЭ | индикат'!$E$41</definedName>
    <definedName name="HEAT_TARIFF_I_1_NUM_SCHEME_COLUMN_MARKER">'ТС. Т-ТЭ | индикат'!$I$41</definedName>
    <definedName name="HEAT_TARIFF_I_1_NUM_TER_COLUMN_MARKER">'ТС. Т-ТЭ | индикат'!$F$41</definedName>
    <definedName name="HEAT_TARIFF_I_1_NUM_TN_COLUMN_MARKER">'ТС. Т-ТЭ | индикат'!$K$41</definedName>
    <definedName name="HEAT_TARIFF_I_ADD_HL_COLUMN_MARKER">'ТС. Т-ТЭ | предел'!$T$36</definedName>
    <definedName name="HEAT_TARIFF_I_DEL_HL_GC_COLUMN_MARKER">'ТС. Т-ТЭ | предел'!$Q$36</definedName>
    <definedName name="HEAT_TARIFF_I_DEL_HL_SCHEME_COLUMN_MARKER">'ТС. Т-ТЭ | предел'!$P$36</definedName>
    <definedName name="HEAT_TARIFF_I_DEL_HL_TN_COLUMN_MARKER">'ТС. Т-ТЭ | предел'!$R$36</definedName>
    <definedName name="HEAT_TARIFF_I_DELETE_PERIOD_ROW_MARKER">'ТС. Т-ТЭ | предел'!$O$37</definedName>
    <definedName name="HEAT_TARIFF_I_FLAG_BLOCK_COLUMN_MARKER">'ТС. Т-ТЭ | предел'!$L$41</definedName>
    <definedName name="HEAT_TARIFF_I_FLAG_BLOCK_ROW_MARKER">'ТС. Т-ТЭ | предел'!$O$22</definedName>
    <definedName name="HEAT_TARIFF_I_NUM_CS_COLUMN_MARKER">'ТС. Т-ТЭ | предел'!$G$41</definedName>
    <definedName name="HEAT_TARIFF_I_NUM_GC_COLUMN_MARKER">'ТС. Т-ТЭ | предел'!$J$41</definedName>
    <definedName name="HEAT_TARIFF_I_NUM_IST_TE_COLUMN_MARKER">'ТС. Т-ТЭ | предел'!$H$41</definedName>
    <definedName name="HEAT_TARIFF_I_NUM_NTAR_COLUMN_MARKER">'ТС. Т-ТЭ | предел'!$E$41</definedName>
    <definedName name="HEAT_TARIFF_I_NUM_SCHEME_COLUMN_MARKER">'ТС. Т-ТЭ | предел'!$I$41</definedName>
    <definedName name="HEAT_TARIFF_I_NUM_TER_COLUMN_MARKER">'ТС. Т-ТЭ | предел'!$F$41</definedName>
    <definedName name="HEAT_TARIFF_I_NUM_TN_COLUMN_MARKER">'ТС. Т-ТЭ | предел'!$K$41</definedName>
    <definedName name="HOTVSNA_FIN_SRC_LIST">TEHSHEET!$BJ$4:$BJ$34</definedName>
    <definedName name="HOTVSNA_FIN_SRC_VLD_LIST">TEHSHEET!$BJ$39:$BJ$60</definedName>
    <definedName name="HOTVSNA_IP_EVENT_CI_STAGE_LIST">TEHSHEET!$BJ$97:$BJ$100</definedName>
    <definedName name="HOTVSNA_IP_EVENT_GROUP_LIST">TEHSHEET!$BJ$69:$BJ$76</definedName>
    <definedName name="HOTVSNA_IP_EVENT_SUBGROUP_1_LIST">TEHSHEET!$BJ$80:$BJ$83</definedName>
    <definedName name="HOTVSNA_IP_EVENT_SUBGROUP_3_LIST">TEHSHEET!$BJ$87:$BJ$88</definedName>
    <definedName name="HOTVSNA_IP_EVENT_SUBGROUP_5_LIST">TEHSHEET!$BJ$92:$BJ$93</definedName>
    <definedName name="HOTVSNA_IP_EVENT_TYPE_LIST">TEHSHEET!$BJ$108</definedName>
    <definedName name="HOTVSNA_PT_VED_ID">TEHSHEET!$BW$19:$BW$21</definedName>
    <definedName name="HOTVSNA_PT_VED_NAME">TEHSHEET!$BX$19:$BX$21</definedName>
    <definedName name="HOTVSNA_PT_VED_NAME_LIST">TEHSHEET!$BW$19:$BX$21</definedName>
    <definedName name="HOTVSNA_TARIFF_A_HOTVSNA_ADD_HL_COLUMN_MARKER">'ГВС. Т-гор.вода'!$T$34</definedName>
    <definedName name="HOTVSNA_TARIFF_A_HOTVSNA_DEL_HL_DATA_DIFF_COLUMN_MARKER">'ГВС. Т-гор.вода'!$R$34</definedName>
    <definedName name="HOTVSNA_TARIFF_A_HOTVSNA_DEL_HL_FLAG_DIFF_COLUMN_MARKER">'ГВС. Т-гор.вода'!$P$34</definedName>
    <definedName name="HOTVSNA_TARIFF_A_HOTVSNA_DEL_HL_GC_COLUMN_MARKER">'ГВС. Т-гор.вода'!$Q$34</definedName>
    <definedName name="HOTVSNA_TARIFF_A_HOTVSNA_DELETE_PERIOD_ROW_MARKER">'ГВС. Т-гор.вода'!$O$35</definedName>
    <definedName name="HOTVSNA_TARIFF_A_HOTVSNA_FLAG_BLOCK_COLUMN_MARKER">'ГВС. Т-гор.вода'!$L$36</definedName>
    <definedName name="HOTVSNA_TARIFF_A_HOTVSNA_FLAG_BLOCK_ROW_MARKER">'ГВС. Т-гор.вода'!$O$20</definedName>
    <definedName name="HOTVSNA_TARIFF_A_HOTVSNA_NUM_CS_COLUMN_MARKER">'ГВС. Т-гор.вода'!$G$36</definedName>
    <definedName name="HOTVSNA_TARIFF_A_HOTVSNA_NUM_DATA_DIFF_COLUMN_MARKER">'ГВС. Т-гор.вода'!$K$36</definedName>
    <definedName name="HOTVSNA_TARIFF_A_HOTVSNA_NUM_FLAG_DIFF_COLUMN_MARKER">'ГВС. Т-гор.вода'!$I$36</definedName>
    <definedName name="HOTVSNA_TARIFF_A_HOTVSNA_NUM_GC_COLUMN_MARKER">'ГВС. Т-гор.вода'!$J$36</definedName>
    <definedName name="HOTVSNA_TARIFF_A_HOTVSNA_NUM_NTAR_COLUMN_MARKER">'ГВС. Т-гор.вода'!$E$36</definedName>
    <definedName name="HOTVSNA_TARIFF_A_HOTVSNA_NUM_TER_COLUMN_MARKER">'ГВС. Т-гор.вода'!$F$36</definedName>
    <definedName name="HOTVSNA_TARIFF_B_HOTVSNA_ADD_HL_COLUMN_MARKER">'ГВС. Т-транс'!$T$34</definedName>
    <definedName name="HOTVSNA_TARIFF_B_HOTVSNA_DEL_HL_DATA_DIFF_COLUMN_MARKER">'ГВС. Т-транс'!$R$34</definedName>
    <definedName name="HOTVSNA_TARIFF_B_HOTVSNA_DEL_HL_FLAG_DIFF_COLUMN_MARKER">'ГВС. Т-транс'!$P$34</definedName>
    <definedName name="HOTVSNA_TARIFF_B_HOTVSNA_DEL_HL_GC_COLUMN_MARKER">'ГВС. Т-транс'!$Q$34</definedName>
    <definedName name="HOTVSNA_TARIFF_B_HOTVSNA_DELETE_PERIOD_ROW_MARKER">'ГВС. Т-транс'!$O$35</definedName>
    <definedName name="HOTVSNA_TARIFF_B_HOTVSNA_FLAG_BLOCK_COLUMN_MARKER">'ГВС. Т-транс'!$L$36</definedName>
    <definedName name="HOTVSNA_TARIFF_B_HOTVSNA_FLAG_BLOCK_ROW_MARKER">'ГВС. Т-транс'!$O$20</definedName>
    <definedName name="HOTVSNA_TARIFF_B_HOTVSNA_NUM_CS_COLUMN_MARKER">'ГВС. Т-транс'!$G$36</definedName>
    <definedName name="HOTVSNA_TARIFF_B_HOTVSNA_NUM_DATA_DIFF_COLUMN_MARKER">'ГВС. Т-транс'!$K$36</definedName>
    <definedName name="HOTVSNA_TARIFF_B_HOTVSNA_NUM_FLAG_DIFF_COLUMN_MARKER">'ГВС. Т-транс'!$I$36</definedName>
    <definedName name="HOTVSNA_TARIFF_B_HOTVSNA_NUM_GC_COLUMN_MARKER">'ГВС. Т-транс'!$J$36</definedName>
    <definedName name="HOTVSNA_TARIFF_B_HOTVSNA_NUM_NTAR_COLUMN_MARKER">'ГВС. Т-транс'!$E$36</definedName>
    <definedName name="HOTVSNA_TARIFF_B_HOTVSNA_NUM_TER_COLUMN_MARKER">'ГВС. Т-транс'!$F$36</definedName>
    <definedName name="HOTVSNA_TARIFF_C_HOTVSNA_ADD_HL_COLUMN_MARKER">'ГВС. Т-подкл'!$T$38</definedName>
    <definedName name="HOTVSNA_TARIFF_C_HOTVSNA_ADD_HL_DIAMETERS_COLUMN_MARKER">'ГВС. Т-подкл'!$AK$38</definedName>
    <definedName name="HOTVSNA_TARIFF_C_HOTVSNA_ADD_HL_LEN_COLUMN_MARKER">'ГВС. Т-подкл'!$AO$38</definedName>
    <definedName name="HOTVSNA_TARIFF_C_HOTVSNA_ADD_HL_LOAD_COLUMN_MARKER">'ГВС. Т-подкл'!$AG$38</definedName>
    <definedName name="HOTVSNA_TARIFF_C_HOTVSNA_ADD_HL_NETS_COLUMN_MARKER">'ГВС. Т-подкл'!$AS$38</definedName>
    <definedName name="HOTVSNA_TARIFF_C_HOTVSNA_DEL_HL_DATA_DIFF_COLUMN_MARKER">'ГВС. Т-подкл'!$R$38</definedName>
    <definedName name="HOTVSNA_TARIFF_C_HOTVSNA_DEL_HL_DIAMETERS_COLUMN_MARKER">'ГВС. Т-подкл'!$AI$38</definedName>
    <definedName name="HOTVSNA_TARIFF_C_HOTVSNA_DEL_HL_FLAG_DIFF_COLUMN_MARKER">'ГВС. Т-подкл'!$P$38</definedName>
    <definedName name="HOTVSNA_TARIFF_C_HOTVSNA_DEL_HL_GC_COLUMN_MARKER">'ГВС. Т-подкл'!$Q$38</definedName>
    <definedName name="HOTVSNA_TARIFF_C_HOTVSNA_DEL_HL_LEN_COLUMN_MARKER">'ГВС. Т-подкл'!$AM$38</definedName>
    <definedName name="HOTVSNA_TARIFF_C_HOTVSNA_DEL_HL_LOAD_COLUMN_MARKER">'ГВС. Т-подкл'!$AE$38</definedName>
    <definedName name="HOTVSNA_TARIFF_C_HOTVSNA_DEL_HL_NETS_COLUMN_MARKER">'ГВС. Т-подкл'!$AQ$38</definedName>
    <definedName name="HOTVSNA_TARIFF_C_HOTVSNA_DELETE_PERIOD_ROW_MARKER">'ГВС. Т-подкл'!$O$39</definedName>
    <definedName name="HOTVSNA_TARIFF_C_HOTVSNA_FLAG_BLOCK_COLUMN_MARKER">'ГВС. Т-подкл'!$L$44</definedName>
    <definedName name="HOTVSNA_TARIFF_C_HOTVSNA_FLAG_BLOCK_ROW_MARKER">'ГВС. Т-подкл'!$O$24</definedName>
    <definedName name="HOTVSNA_TARIFF_C_HOTVSNA_NUM_CS_COLUMN_MARKER">'ГВС. Т-подкл'!$G$44</definedName>
    <definedName name="HOTVSNA_TARIFF_C_HOTVSNA_NUM_DATA_DIFF_COLUMN_MARKER">'ГВС. Т-подкл'!$K$44</definedName>
    <definedName name="HOTVSNA_TARIFF_C_HOTVSNA_NUM_DIAMETERS_COLUMN_MARKER">'ГВС. Т-подкл'!$AJ$38</definedName>
    <definedName name="HOTVSNA_TARIFF_C_HOTVSNA_NUM_FLAG_DIFF_COLUMN_MARKER">'ГВС. Т-подкл'!$I$44</definedName>
    <definedName name="HOTVSNA_TARIFF_C_HOTVSNA_NUM_GC_COLUMN_MARKER">'ГВС. Т-подкл'!$J$44</definedName>
    <definedName name="HOTVSNA_TARIFF_C_HOTVSNA_NUM_LEN_COLUMN_MARKER">'ГВС. Т-подкл'!$AN$38</definedName>
    <definedName name="HOTVSNA_TARIFF_C_HOTVSNA_NUM_LOAD_COLUMN_MARKER">'ГВС. Т-подкл'!$AF$38</definedName>
    <definedName name="HOTVSNA_TARIFF_C_HOTVSNA_NUM_NETS_COLUMN_MARKER">'ГВС. Т-подкл'!$AR$38</definedName>
    <definedName name="HOTVSNA_TARIFF_C_HOTVSNA_NUM_NTAR_COLUMN_MARKER">'ГВС. Т-подкл'!$E$44</definedName>
    <definedName name="HOTVSNA_TARIFF_C_HOTVSNA_NUM_TER_COLUMN_MARKER">'ГВС. Т-подкл'!$F$44</definedName>
    <definedName name="Info_Diff">modInfo!$B$28</definedName>
    <definedName name="Info_Diff1">modInfo!$B$30</definedName>
    <definedName name="Info_FilFlag">modInfo!$B$1</definedName>
    <definedName name="Info_ForMOInListMO">modInfo!$B$18</definedName>
    <definedName name="Info_ForMRInListMO">modInfo!$B$17</definedName>
    <definedName name="Info_ForSKIInListMO">modInfo!$B$19</definedName>
    <definedName name="Info_ForSKINumberInListMO">modInfo!$B$20</definedName>
    <definedName name="Info_NoteStandarts">modInfo!$B$22</definedName>
    <definedName name="Info_NoUpdates">modInfo!$B$36</definedName>
    <definedName name="Info_PeriodInTitle">modInfo!$B$4</definedName>
    <definedName name="Info_PrDiff">modInfo!$B$29</definedName>
    <definedName name="Info_PublicationNotDisclosed">modInfo!$B$15</definedName>
    <definedName name="Info_PublicationPdf">modInfo!$B$14</definedName>
    <definedName name="Info_PublicationWeb">modInfo!$B$13</definedName>
    <definedName name="Info_T_Podkl">modInfo!$B$24</definedName>
    <definedName name="Info_TarName">modInfo!$B$27</definedName>
    <definedName name="Info_TerExcludeHelp_1">modInfo!$B$33</definedName>
    <definedName name="Info_TerExcludeHelp_2">modInfo!$B$34</definedName>
    <definedName name="Info_TitleFil">modInfo!$B$11</definedName>
    <definedName name="Info_TitleFlagCrossSubsidization">modInfo!$B$8</definedName>
    <definedName name="Info_TitleFlagIstPubl">modInfo!$B$9</definedName>
    <definedName name="Info_TitleFlagTwoPartTariff">modInfo!$B$7</definedName>
    <definedName name="Info_TitleGroupRates">modInfo!$B$5</definedName>
    <definedName name="Info_TitleKindPublication">modInfo!$B$3</definedName>
    <definedName name="Info_TitleKindsOfGoods">modInfo!$B$6</definedName>
    <definedName name="Info_TitlePublication">modInfo!$B$2</definedName>
    <definedName name="Info_TitleType">modInfo!$B$10</definedName>
    <definedName name="inn">Титульный!$F$33</definedName>
    <definedName name="IP_CLAIM_LIST">TEHSHEET!$AZ$20:$AZ$26</definedName>
    <definedName name="IP_DETAILED_ADD_HL_EVENT_COLUMN_MARKER">'ИП. Детализация'!$I$7</definedName>
    <definedName name="IP_DETAILED_ADD_HL_IST_FIN_COLUMN_MARKER">'ИП. Детализация'!$AB$7</definedName>
    <definedName name="IP_DETAILED_ADD_HL_OBJECT_COLUMN_MARKER">'ИП. Детализация'!$P$7</definedName>
    <definedName name="IP_DETAILED_DATA_KS">'ИП. Детализация'!$M$7</definedName>
    <definedName name="IP_DETAILED_EVENT_MARKER">'ИП. Детализация'!$K$7:$Y$7</definedName>
    <definedName name="IP_DETAILED_EVENT_SUBGROUP_COLUMN_MARKER">'ИП. Детализация'!$J$7</definedName>
    <definedName name="IP_DETAILED_EVENT_SUBGROUP_RANGE_COLUMN_MARKER">'ИП. Детализация'!$B$7</definedName>
    <definedName name="IP_DETAILED_FLAG_KS">'ИП. Детализация'!$L$7</definedName>
    <definedName name="IP_DETAILED_FLAG_OBJECT">'ИП. Детализация'!$P$13</definedName>
    <definedName name="IP_DETAILED_GROUP_MARKER">'ИП. Детализация'!$I$7:$J$7</definedName>
    <definedName name="IP_DETAILED_IST_FIN_FACT_COLUMN_MARKER">'ИП. Детализация'!$AD$7</definedName>
    <definedName name="IP_DETAILED_LIST_IP_ID">'ИП. Детализация'!$A$14:$A$14</definedName>
    <definedName name="IP_DETAILED_MONTH_FACT_COLUMN_MARKER">'ИП. Детализация'!$AJ$7</definedName>
    <definedName name="IP_DETAILED_MONTH_PLAN_COLUMN_MARKER">'ИП. Детализация'!$AG$7</definedName>
    <definedName name="IP_DETAILED_NAME_EVENT_COLUMN_MARKER">'ИП. Детализация'!$K$7</definedName>
    <definedName name="IP_DETAILED_YEAR_FACT_COLUMN_MARKER">'ИП. Детализация'!$AK$7</definedName>
    <definedName name="IP_DETAILED_YEAR_PLAN_COLUMN_MARKER">'ИП. Детализация'!$AH$7</definedName>
    <definedName name="IP_FIN_PLAN_LIST_ID_MARKER_ROW">'ИП. Финансовый план'!$E$8</definedName>
    <definedName name="IP_FIN_PLAN_NAME_IP_MARKER_ROW">'ИП. Финансовый план'!$E$11</definedName>
    <definedName name="IP_FIN_PLAN_YEAR_MARKER_ROW">'ИП. Финансовый план'!$E$12</definedName>
    <definedName name="IP_ID">TEHSHEET!$E$58</definedName>
    <definedName name="IP_MAIN_ADD_HL_PROPERTY_COLUMN_MARKER">ИП!$AB$7</definedName>
    <definedName name="IP_MAIN_APPROVAL_DATE">ИП!$I$11:$I$13</definedName>
    <definedName name="IP_MAIN_CHANGE_DATE">ИП!$J$11:$J$13</definedName>
    <definedName name="IP_MAIN_CLAIM">ИП!$K$11:$K$13</definedName>
    <definedName name="IP_MAIN_DATE_PARKING">ИП!$L$5</definedName>
    <definedName name="IP_MAIN_DELETE_HL_COLUMN_MARKER">ИП!$E$7</definedName>
    <definedName name="IP_MAIN_DIFFERENTIATION_EVENTS_FLAG">ИП!$H$11:$H$13</definedName>
    <definedName name="IP_MAIN_END_DATE">ИП!$O$11:$O$13</definedName>
    <definedName name="IP_MAIN_FLAG_KS">ИП!$Y$11:$Y$13</definedName>
    <definedName name="IP_MAIN_FLAG_KS_COLUMN_MARKER">ИП!$Y$7</definedName>
    <definedName name="IP_MAIN_IP_FIN_PLAN_VISIBLE_FLAG">ИП!$H$15</definedName>
    <definedName name="IP_MAIN_LIST_IP_ID">ИП!$AD$11:$AD$13</definedName>
    <definedName name="IP_MAIN_LIST_NAME_IP">ИП!$G$11:$G$13</definedName>
    <definedName name="IP_MAIN_PERIOD_REALIZ_DATE">ИП!$P$11:$P$13</definedName>
    <definedName name="IP_MAIN_PR_IP_CHANGE_DATE">ИП!$X$11:$X$13</definedName>
    <definedName name="IP_MAIN_PR_IP_DATE">ИП!$T$11:$T$13</definedName>
    <definedName name="IP_MAIN_PR_IP_NAME">ИП!$Q$11:$Q$13</definedName>
    <definedName name="IP_MAIN_PR_IP_NUMBER">ИП!$S$11:$S$13</definedName>
    <definedName name="IP_MAIN_PR_IP_TYPE">ИП!$R$11:$R$13</definedName>
    <definedName name="IP_MAIN_START_DATE">ИП!$N$11:$N$13</definedName>
    <definedName name="IP_NAME_FORM">DATA_FORMS!$C$32</definedName>
    <definedName name="IP_QRE_ADD_HL_CLAIM_COLUMN_MARKER">'ИП. КНЭ'!$G$7</definedName>
    <definedName name="IP_QRE_ADD_HL_COLUMN_MARKER">'ИП. КНЭ'!$G$8</definedName>
    <definedName name="IP_QRE_DELETE_HL_COLUMN_MARKER">'ИП. КНЭ'!$E$8</definedName>
    <definedName name="IP_QRE_LIST_IP_ID">'ИП. КНЭ'!$A$18:$A$20</definedName>
    <definedName name="IP_QRE_NUM_COLUMN_MARKER">'ИП. КНЭ'!$F$8</definedName>
    <definedName name="IP_QRE_OTKO_FEATURES_BLOCK">'ИП. КНЭ'!$DY$8</definedName>
    <definedName name="IP_QRE_VOTV_FEATURES_BLOCK">'ИП. КНЭ'!$CY$8:$DX$8</definedName>
    <definedName name="IP_QRE_VSNA_FEATURES_BLOCK">'ИП. КНЭ'!$BT$8:$CX$8</definedName>
    <definedName name="IP_QRE_WARM_FEATURES_BLOCK">'ИП. КНЭ'!$O$8:$BS$8</definedName>
    <definedName name="IST_TE_ID">TEHSHEET!$E$64</definedName>
    <definedName name="kind_group_rates">TEHSHEET!$X$2:$X$14</definedName>
    <definedName name="kind_group_rates_load">TEHSHEET!$AP$2:$AP$11</definedName>
    <definedName name="kind_group_rates_load_ETS">TEHSHEET!$AP$2:$AP$11</definedName>
    <definedName name="kind_group_rates_load_filter">TEHSHEET!$AQ$2:$AQ$11</definedName>
    <definedName name="kind_group_rates_load_filter_ETS">TEHSHEET!$AQ$2:$AQ$11</definedName>
    <definedName name="kind_of_activity_WARM">TEHSHEET!$N$2:$N$8</definedName>
    <definedName name="kind_of_cons">TEHSHEET!$R$2:$R$6</definedName>
    <definedName name="kind_of_control_method">TEHSHEET!$K$2:$K$5</definedName>
    <definedName name="kind_of_control_method_filter">TEHSHEET!$L$2:$L$5</definedName>
    <definedName name="kind_of_data_type">TEHSHEET!$P$2:$P$3</definedName>
    <definedName name="kind_of_diameters">TEHSHEET!$T$2:$T$6</definedName>
    <definedName name="kind_of_diameters2">TEHSHEET!$AU$2:$AU$8</definedName>
    <definedName name="kind_of_diff">TEHSHEET!$AS$2:$AS$4</definedName>
    <definedName name="kind_of_fuel">TEHSHEET!$AK$2:$AK$9</definedName>
    <definedName name="kind_of_fuels">TEHSHEET!$BB$2:$BB$29</definedName>
    <definedName name="kind_of_heat_transfer">TEHSHEET!$O$2:$O$12</definedName>
    <definedName name="kind_of_heat_transfer2">TEHSHEET!$AH$2:$AH$7</definedName>
    <definedName name="kind_of_heat_transfer3">TEHSHEET!$AI$2:$AI$3</definedName>
    <definedName name="kind_of_load">TEHSHEET!$U$2:$U$7</definedName>
    <definedName name="kind_of_load2">TEHSHEET!$U$2:$U$4</definedName>
    <definedName name="kind_of_load3">TEHSHEET!$AF$2:$AF$5</definedName>
    <definedName name="kind_of_load4">TEHSHEET!$U$2:$U$5</definedName>
    <definedName name="kind_of_NDS">TEHSHEET!$H$2:$H$8</definedName>
    <definedName name="kind_of_NDS_tariff">TEHSHEET!$H$10:$H$11</definedName>
    <definedName name="kind_of_NDS_tariff_people">TEHSHEET!$H$16:$H$17</definedName>
    <definedName name="kind_of_nets">TEHSHEET!$S$2:$S$4</definedName>
    <definedName name="kind_of_org_type">TEHSHEET!$AZ$2:$AZ$5</definedName>
    <definedName name="kind_of_power_te_unit">TEHSHEET!$J$11:$J$12</definedName>
    <definedName name="kind_of_publication">TEHSHEET!$G$2:$G$3</definedName>
    <definedName name="kind_of_purchase_method">TEHSHEET!$K$11:$K$13</definedName>
    <definedName name="kind_of_scheme_in">TEHSHEET!$Q$2:$Q$5</definedName>
    <definedName name="kind_of_scheme_in2">TEHSHEET!$Q$3:$Q$5</definedName>
    <definedName name="kind_of_tariff_RHEAT">TEHSHEET!$E$19:$E$20</definedName>
    <definedName name="kind_of_tariff_unit">TEHSHEET!$J$7:$J$8</definedName>
    <definedName name="kind_of_unit">TEHSHEET!$J$2:$J$4</definedName>
    <definedName name="kind_of_volume_te_unit">TEHSHEET!$J$15:$J$16</definedName>
    <definedName name="kind_of_zak">TEHSHEET!$AM$2:$AM$7</definedName>
    <definedName name="KNE_NAME_FORM">DATA_FORMS!$C$8</definedName>
    <definedName name="kpp">Титульный!$F$34</definedName>
    <definedName name="LINK_RANGE">REESTR_LINK!$B$2:$B$3</definedName>
    <definedName name="List_H">TEHSHEET!$AW$2:$AW$25</definedName>
    <definedName name="List_M">TEHSHEET!$AX$2:$AX$61</definedName>
    <definedName name="LIST_MR_MO_OKTMO">REESTR_MO!$A$2:$D$709</definedName>
    <definedName name="LIST_MR_MO_OKTMO_FILTER">REESTR_MO_FILTER!$A$2:$D$708</definedName>
    <definedName name="ListForms">modSheetMain!$A:$A</definedName>
    <definedName name="logical">TEHSHEET!$D$2:$D$3</definedName>
    <definedName name="MONTH">TEHSHEET!$E$2:$E$13</definedName>
    <definedName name="MONTH_IP_LIST">TEHSHEET!$BF$2:$BF$13</definedName>
    <definedName name="nalog">Титульный!$F$37</definedName>
    <definedName name="name_rates_4">TEHSHEET!$AA$2:$AA$3</definedName>
    <definedName name="name_rates_4_filter">TEHSHEET!$AB$2:$AB$3</definedName>
    <definedName name="name_rates_8">TEHSHEET!$AC$2:$AC$4</definedName>
    <definedName name="name_rates_8_filter">TEHSHEET!$AD$2:$AD$4</definedName>
    <definedName name="NameTemplatesInListMO">TEHSHEET!$K$45</definedName>
    <definedName name="NameTemplatesInTitle">TEHSHEET!$J$45</definedName>
    <definedName name="NameTemplatesInTitleList">TEHSHEET!$J$46:$J$53</definedName>
    <definedName name="NTAR_ID">TEHSHEET!$E$61</definedName>
    <definedName name="OFFER_DPR">Предложение!$L$85</definedName>
    <definedName name="OFFER_METHOD">Предложение!$K$24:$K$83</definedName>
    <definedName name="OFFER_METHOD_FLAG">TEHSHEET!$L$6</definedName>
    <definedName name="OFFER_TARIFF_A_1">Предложение!$24:$26</definedName>
    <definedName name="OFFER_TARIFF_A_2">Предложение!$87:$89</definedName>
    <definedName name="OFFER_TARIFF_A_3">Предложение!$148:$150</definedName>
    <definedName name="OFFER_TARIFF_A_4">Предложение!$209:$211</definedName>
    <definedName name="OFFER_TARIFF_A_5">Предложение!$270:$272</definedName>
    <definedName name="OFFER_TARIFF_A_COLDVSNA_1">Предложение!$51:$53</definedName>
    <definedName name="OFFER_TARIFF_A_COLDVSNA_2">Предложение!$114:$116</definedName>
    <definedName name="OFFER_TARIFF_A_COLDVSNA_3">Предложение!$175:$177</definedName>
    <definedName name="OFFER_TARIFF_A_COLDVSNA_4">Предложение!$236:$238</definedName>
    <definedName name="OFFER_TARIFF_A_COLDVSNA_5">Предложение!$297:$299</definedName>
    <definedName name="OFFER_TARIFF_A_HOTVSNA_1">Предложение!$66:$68</definedName>
    <definedName name="OFFER_TARIFF_A_HOTVSNA_2">Предложение!$129:$131</definedName>
    <definedName name="OFFER_TARIFF_A_HOTVSNA_3">Предложение!$190:$192</definedName>
    <definedName name="OFFER_TARIFF_A_HOTVSNA_4">Предложение!$251:$253</definedName>
    <definedName name="OFFER_TARIFF_A_HOTVSNA_5">Предложение!$312:$314</definedName>
    <definedName name="OFFER_TARIFF_A_VOTV_1">Предложение!$75:$77</definedName>
    <definedName name="OFFER_TARIFF_A_VOTV_2">Предложение!$138:$140</definedName>
    <definedName name="OFFER_TARIFF_A_VOTV_3">Предложение!$199:$201</definedName>
    <definedName name="OFFER_TARIFF_A_VOTV_4">Предложение!$260:$262</definedName>
    <definedName name="OFFER_TARIFF_A_VOTV_5">Предложение!$321:$323</definedName>
    <definedName name="OFFER_TARIFF_B_1">Предложение!$27:$29</definedName>
    <definedName name="OFFER_TARIFF_B_2">Предложение!$90:$92</definedName>
    <definedName name="OFFER_TARIFF_B_3">Предложение!$151:$153</definedName>
    <definedName name="OFFER_TARIFF_B_4">Предложение!$212:$214</definedName>
    <definedName name="OFFER_TARIFF_B_5">Предложение!$273:$275</definedName>
    <definedName name="OFFER_TARIFF_B_COLDVSNA_1">Предложение!$54:$56</definedName>
    <definedName name="OFFER_TARIFF_B_COLDVSNA_2">Предложение!$117:$119</definedName>
    <definedName name="OFFER_TARIFF_B_COLDVSNA_3">Предложение!$178:$180</definedName>
    <definedName name="OFFER_TARIFF_B_COLDVSNA_4">Предложение!$239:$241</definedName>
    <definedName name="OFFER_TARIFF_B_COLDVSNA_5">Предложение!$300:$302</definedName>
    <definedName name="OFFER_TARIFF_B_HOTVSNA_1">Предложение!$69:$71</definedName>
    <definedName name="OFFER_TARIFF_B_HOTVSNA_2">Предложение!$132:$134</definedName>
    <definedName name="OFFER_TARIFF_B_HOTVSNA_3">Предложение!$193:$195</definedName>
    <definedName name="OFFER_TARIFF_B_HOTVSNA_4">Предложение!$254:$256</definedName>
    <definedName name="OFFER_TARIFF_B_HOTVSNA_5">Предложение!$315:$317</definedName>
    <definedName name="OFFER_TARIFF_B_VOTV_1">Предложение!$78:$80</definedName>
    <definedName name="OFFER_TARIFF_B_VOTV_2">Предложение!$141:$143</definedName>
    <definedName name="OFFER_TARIFF_B_VOTV_3">Предложение!$202:$204</definedName>
    <definedName name="OFFER_TARIFF_B_VOTV_4">Предложение!$263:$265</definedName>
    <definedName name="OFFER_TARIFF_B_VOTV_5">Предложение!$324:$326</definedName>
    <definedName name="OFFER_TARIFF_C_1">Предложение!$30:$32</definedName>
    <definedName name="OFFER_TARIFF_C_2">Предложение!$93:$95</definedName>
    <definedName name="OFFER_TARIFF_C_3">Предложение!$154:$156</definedName>
    <definedName name="OFFER_TARIFF_C_4">Предложение!$215:$217</definedName>
    <definedName name="OFFER_TARIFF_C_5">Предложение!$276:$278</definedName>
    <definedName name="OFFER_TARIFF_C_COLDVSNA_1">Предложение!$57:$59</definedName>
    <definedName name="OFFER_TARIFF_C_COLDVSNA_2">Предложение!$120:$122</definedName>
    <definedName name="OFFER_TARIFF_C_COLDVSNA_3">Предложение!$181:$183</definedName>
    <definedName name="OFFER_TARIFF_C_COLDVSNA_4">Предложение!$242:$244</definedName>
    <definedName name="OFFER_TARIFF_C_COLDVSNA_5">Предложение!$303:$305</definedName>
    <definedName name="OFFER_TARIFF_C_HOTVSNA_1">Предложение!$72:$74</definedName>
    <definedName name="OFFER_TARIFF_C_HOTVSNA_2">Предложение!$135:$137</definedName>
    <definedName name="OFFER_TARIFF_C_HOTVSNA_3">Предложение!$196:$198</definedName>
    <definedName name="OFFER_TARIFF_C_HOTVSNA_4">Предложение!$257:$259</definedName>
    <definedName name="OFFER_TARIFF_C_HOTVSNA_5">Предложение!$318:$320</definedName>
    <definedName name="OFFER_TARIFF_C_VOTV_1">Предложение!$81:$83</definedName>
    <definedName name="OFFER_TARIFF_C_VOTV_2">Предложение!$144:$146</definedName>
    <definedName name="OFFER_TARIFF_C_VOTV_3">Предложение!$205:$207</definedName>
    <definedName name="OFFER_TARIFF_C_VOTV_4">Предложение!$266:$268</definedName>
    <definedName name="OFFER_TARIFF_C_VOTV_5">Предложение!$327:$329</definedName>
    <definedName name="OFFER_TARIFF_D_1">Предложение!$33:$35</definedName>
    <definedName name="OFFER_TARIFF_D_2">Предложение!$96:$98</definedName>
    <definedName name="OFFER_TARIFF_D_3">Предложение!$157:$159</definedName>
    <definedName name="OFFER_TARIFF_D_4">Предложение!$218:$220</definedName>
    <definedName name="OFFER_TARIFF_D_5">Предложение!$279:$281</definedName>
    <definedName name="OFFER_TARIFF_D_COLDVSNA_1">Предложение!$60:$62</definedName>
    <definedName name="OFFER_TARIFF_D_COLDVSNA_2">Предложение!$123:$125</definedName>
    <definedName name="OFFER_TARIFF_D_COLDVSNA_3">Предложение!$184:$186</definedName>
    <definedName name="OFFER_TARIFF_D_COLDVSNA_4">Предложение!$245:$247</definedName>
    <definedName name="OFFER_TARIFF_D_COLDVSNA_5">Предложение!$306:$308</definedName>
    <definedName name="OFFER_TARIFF_E_COLDVSNA_1">Предложение!$63:$65</definedName>
    <definedName name="OFFER_TARIFF_E_COLDVSNA_2">Предложение!$126:$128</definedName>
    <definedName name="OFFER_TARIFF_E_COLDVSNA_3">Предложение!$187:$189</definedName>
    <definedName name="OFFER_TARIFF_E_COLDVSNA_4">Предложение!$248:$250</definedName>
    <definedName name="OFFER_TARIFF_E_COLDVSNA_5">Предложение!$309:$311</definedName>
    <definedName name="OFFER_TARIFF_E1_1">Предложение!$36:$38</definedName>
    <definedName name="OFFER_TARIFF_E1_2">Предложение!$99:$101</definedName>
    <definedName name="OFFER_TARIFF_E1_3">Предложение!$160:$162</definedName>
    <definedName name="OFFER_TARIFF_E1_4">Предложение!$221:$223</definedName>
    <definedName name="OFFER_TARIFF_E1_5">Предложение!$282:$284</definedName>
    <definedName name="OFFER_TARIFF_E2_1">Предложение!$39:$41</definedName>
    <definedName name="OFFER_TARIFF_E2_2">Предложение!$102:$104</definedName>
    <definedName name="OFFER_TARIFF_E2_3">Предложение!$163:$165</definedName>
    <definedName name="OFFER_TARIFF_E2_4">Предложение!$224:$226</definedName>
    <definedName name="OFFER_TARIFF_E2_5">Предложение!$285:$287</definedName>
    <definedName name="OFFER_TARIFF_F_1">Предложение!$42:$44</definedName>
    <definedName name="OFFER_TARIFF_F_2">Предложение!$105:$107</definedName>
    <definedName name="OFFER_TARIFF_F_3">Предложение!$166:$168</definedName>
    <definedName name="OFFER_TARIFF_F_4">Предложение!$227:$229</definedName>
    <definedName name="OFFER_TARIFF_F_5">Предложение!$288:$290</definedName>
    <definedName name="OFFER_TARIFF_G_1">Предложение!$45:$47</definedName>
    <definedName name="OFFER_TARIFF_G_2">Предложение!$108:$110</definedName>
    <definedName name="OFFER_TARIFF_G_3">Предложение!$169:$171</definedName>
    <definedName name="OFFER_TARIFF_G_4">Предложение!$230:$232</definedName>
    <definedName name="OFFER_TARIFF_G_5">Предложение!$291:$293</definedName>
    <definedName name="OFFER_TARIFF_H_1">Предложение!$48:$50</definedName>
    <definedName name="org">Титульный!$F$31</definedName>
    <definedName name="Org_Address">Титульный!$F$64:$F$64</definedName>
    <definedName name="ORG_END_DATE">TEHSHEET!$F$29</definedName>
    <definedName name="ORG_INFO_DATE_OGRN">'Общая информация об организации'!$F$17</definedName>
    <definedName name="ORG_INFO_DATE_PARKING">'Общая информация об организации'!$G$4</definedName>
    <definedName name="ORG_INFO_DATE_UNI_TS">'Общая информация об организации'!$F$21</definedName>
    <definedName name="ORG_INFO_EMAIL">'Общая информация об организации'!$F$44</definedName>
    <definedName name="ORG_INFO_ET">'Общая информация об организации'!$F$20:$F$24</definedName>
    <definedName name="ORG_INFO_ET_CYAN">'Общая информация об организации'!$F$20:$F$23</definedName>
    <definedName name="ORG_INFO_FLAG_INVEST">'Общая информация об организации'!$F$51</definedName>
    <definedName name="ORG_INFO_NAME_FORM">DATA_FORMS!$C$4</definedName>
    <definedName name="ORG_INFO_P_NOTE_MAIN">DATA_NPA!$N$3</definedName>
    <definedName name="ORG_INFO_RESP_EMAIL">'Общая информация об организации'!$F$32</definedName>
    <definedName name="ORG_INFO_URL">'Общая информация об организации'!$F$43</definedName>
    <definedName name="Org_main">Титульный!$F$65</definedName>
    <definedName name="ORG_START_DATE">TEHSHEET!$E$29</definedName>
    <definedName name="ORG_TERRITORY_FIRST_MO">'Сведения по территориям'!$G$12</definedName>
    <definedName name="ORG_TERRITORY_FLAG_INTERNET">'Сведения по территориям'!$J$11:$J$13</definedName>
    <definedName name="ORG_TERRITORY_LINK">'Сведения по территориям'!$K$11:$K$13</definedName>
    <definedName name="ORG_TERRITORY_NAME_COL">'Сведения по территориям'!$G$1:$I$1</definedName>
    <definedName name="ORG_TERRITORY_POINT_NUMBER_1">'Сведения по территориям'!$A:$A</definedName>
    <definedName name="ORG_VD_EM">'Общая информация по ВД'!$K$11:$K$13</definedName>
    <definedName name="ORG_VD_FIRST_ROW">'Общая информация по ВД'!$12:$12</definedName>
    <definedName name="ORG_VD_FIRST_SYSTEM">'Общая информация по ВД'!$E$12</definedName>
    <definedName name="ORG_VD_NAME_FORM">DATA_FORMS!$C$31</definedName>
    <definedName name="ORG_VD_SYSTEM">'Общая информация по ВД'!$E$11:$E$13</definedName>
    <definedName name="ORG_VD_TKO_ADD_HL_ACTIVITY_COLUMN_MARKER">'Виды объектов'!$E$9</definedName>
    <definedName name="ORG_VD_TKO_ADD_HL_TYPE_OBJECT_COLUMN_MARKER">'Виды объектов'!$H$9</definedName>
    <definedName name="ORG_VD_TKO_DEL_HL_ACTIVITY_COLUMN_MARKER">'Виды объектов'!$C$9</definedName>
    <definedName name="ORG_VD_TKO_DEL_HL_TYPE_OBJECT_COLUMN_MARKER">'Виды объектов'!$F$9</definedName>
    <definedName name="ORG_VD_TKO_VD">'Виды объектов'!$E$13:$E$16</definedName>
    <definedName name="ORG_VD_TKO_VD_ID">'Виды объектов'!$O$13:$O$16</definedName>
    <definedName name="ORG_VD_VD">'Общая информация по ВД'!$F$11:$F$13</definedName>
    <definedName name="ORG_VD_VD_ID">'Общая информация по ВД'!$AM$11:$AM$13</definedName>
    <definedName name="OTKO_FIN_SRC_LIST">TEHSHEET!$BN$4:$BN$18</definedName>
    <definedName name="OTKO_FIN_SRC_VLD_LIST">TEHSHEET!$BN$39:$BN$48</definedName>
    <definedName name="OTKO_IP_EVENT_CI_STAGE_LIST">TEHSHEET!$BN$97:$BN$104</definedName>
    <definedName name="OTKO_IP_EVENT_GROUP_LIST">TEHSHEET!$BN$69:$BN$74</definedName>
    <definedName name="OTKO_IP_EVENT_TYPE_LIST">TEHSHEET!$BN$108</definedName>
    <definedName name="otv_lico_name">Титульный!$F$67:$F$70</definedName>
    <definedName name="P_T_TERMS_LINK">Договоры!$F$12:$F$22</definedName>
    <definedName name="pCng_P_T_TERMS_1">Договоры!$E$14:$E$15</definedName>
    <definedName name="pCng_P_T_TERMS_2">Договоры!$E$17:$E$18</definedName>
    <definedName name="pCng_P_T_TERMS_3">Договоры!$E$21:$E$22</definedName>
    <definedName name="pCng_P_T_TERMS_4">Договоры!$E$25:$E$26</definedName>
    <definedName name="pDel_B_STANDARTS">'Стандарты качества'!$H$12:$H$13</definedName>
    <definedName name="pDel_CHANGE_INFO">'Сведения об изменении'!$C$12:$C$13</definedName>
    <definedName name="pDel_Comm">Комментарии!$C$11:$C$12</definedName>
    <definedName name="pDel_DIFFERENTIATION_AREA">Дифференциация!$G$12:$G$19</definedName>
    <definedName name="pDel_DIFFERENTIATION_SYSTEM">Дифференциация!$K$12:$K$19</definedName>
    <definedName name="pDel_DIFFERENTIATION_VD">Дифференциация!$C$12:$C$19</definedName>
    <definedName name="pDel_ED">ЭД!$C$12:$C$13</definedName>
    <definedName name="pDel_IP_DETAILED_EVENT">'ИП. Детализация'!$G$13</definedName>
    <definedName name="pDel_IP_DETAILED_IST_FIN">'ИП. Детализация'!$Z$13</definedName>
    <definedName name="pDel_IP_DETAILED_OBJECT">'ИП. Детализация'!$N$13</definedName>
    <definedName name="pDel_IP_MAIN">ИП!$E$11:$E$13</definedName>
    <definedName name="pDel_IP_MAIN_PROPERTY">ИП!$Z$11:$Z$13</definedName>
    <definedName name="pDel_IP_QRE_CLAIM">'ИП. КНЭ'!$E$18:$E$20</definedName>
    <definedName name="pDel_List07">'Сведения об изменении'!$C$11:$C$13</definedName>
    <definedName name="pDel_LT_AREA">'Список территорий'!$C$12:$C$15</definedName>
    <definedName name="pDel_LT_MO">'Список территорий'!$D$11:$D$15</definedName>
    <definedName name="pDel_ORG_INFO">'Общая информация об организации'!$C$40:$C$50</definedName>
    <definedName name="pDel_ORG_TERRITORY">'Сведения по территориям'!$D$11:$D$13</definedName>
    <definedName name="pDel_ORG_VD">'Общая информация по ВД'!$C$11:$C$13</definedName>
    <definedName name="pDel_P_PROCEDURE_TC">'Порядок ТП'!$C$26:$C$40</definedName>
    <definedName name="pDel_P_T_TERMS">Договоры!$C$14:$C$26</definedName>
    <definedName name="pDel_Q_LIMIT">Ограничения!$C$31</definedName>
    <definedName name="pDel_Q_TP">ТП!$C$14</definedName>
    <definedName name="pDel_R_B_Purch">'Сведения о закупках'!$C$13:$C$14</definedName>
    <definedName name="periodEnd">Титульный!$F$12</definedName>
    <definedName name="PeriodIsEmpty">TEHSHEET!$I$45</definedName>
    <definedName name="PeriodIsEmptyList">TEHSHEET!$I$46:$I$53</definedName>
    <definedName name="periodStart">Титульный!$F$11</definedName>
    <definedName name="pHeader_B_FHD">'Показатели ФХД'!$29:$29</definedName>
    <definedName name="pHeader_B_FHD_TKO">'ТКО. Показатели ФХД'!$14:$14</definedName>
    <definedName name="pHeader_B_FHD_TKO_TRANS">'ТКО. Транс. Показатели ФХД'!$14:$14</definedName>
    <definedName name="pHeader_B_KNE">'Показатели КНЭ'!$11:$11</definedName>
    <definedName name="pHeader_B_OTEP">'Показатели ОТЭП'!$14:$14</definedName>
    <definedName name="pHeader_Q_LIMIT">Ограничения!$30:$30</definedName>
    <definedName name="pHeader_Q_PH">'Потребительские характеристики'!$13:$13</definedName>
    <definedName name="pHeader_Q_TP">ТП!$13:$13</definedName>
    <definedName name="pHeader_ver_B_FHD">'Показатели ФХД'!$C:$C</definedName>
    <definedName name="pHeader_ver_B_FHD_TKO">'ТКО. Показатели ФХД'!$C:$C</definedName>
    <definedName name="pHeader_ver_B_FHD_TKO_TRANS">'ТКО. Транс. Показатели ФХД'!$C:$C</definedName>
    <definedName name="pHeader_ver_B_KNE">'Показатели КНЭ'!$B:$B</definedName>
    <definedName name="pHeader_ver_B_OTEP">'Показатели ОТЭП'!$G:$G</definedName>
    <definedName name="pHeader_ver_P_PROCEDURE_TC">'Порядок ТП'!$A$21:$A$40</definedName>
    <definedName name="pHeader_ver_Q_LIMIT">Ограничения!$E:$E</definedName>
    <definedName name="pIns_B_FHD_1">'Показатели ФХД'!$F$40</definedName>
    <definedName name="pIns_B_FHD_2">'Показатели ФХД'!$F$71</definedName>
    <definedName name="pIns_B_FHD_3">'Показатели ФХД'!$F$101</definedName>
    <definedName name="pIns_B_FHD_4">'Показатели ФХД'!$F$119</definedName>
    <definedName name="pIns_B_FHD_5">'Показатели ФХД'!$F$122</definedName>
    <definedName name="pIns_B_FHD_6">'Показатели ФХД'!$F$125</definedName>
    <definedName name="pIns_B_FHD_DIFFERENTIATION">'Показатели ФХД'!$K$24</definedName>
    <definedName name="pIns_B_FHD_TKO_2">'ТКО. Показатели ФХД'!$F$34</definedName>
    <definedName name="pIns_B_FHD_TKO_DIFFERENTIATION">'ТКО. Показатели ФХД'!$K$9</definedName>
    <definedName name="pIns_B_FHD_TKO_TRANS_2">'ТКО. Транс. Показатели ФХД'!$F$29</definedName>
    <definedName name="pIns_B_FHD_TKO_TRANS_DIFFERENTIATION">'ТКО. Транс. Показатели ФХД'!$K$9</definedName>
    <definedName name="pIns_B_FHD20_DIFFERENTIATION">'Показатели ФХД &gt;20%'!$D$32</definedName>
    <definedName name="pIns_B_KNE_DIFFERENTIATION">'Показатели КНЭ'!$M$6</definedName>
    <definedName name="pIns_B_OTEP_2">'Показатели ОТЭП'!$J$18</definedName>
    <definedName name="pIns_B_OTEP_DIFFERENTIATION">'Показатели ОТЭП'!$O$9</definedName>
    <definedName name="pIns_B_STANDARTS">'Стандарты качества'!$J$13</definedName>
    <definedName name="pIns_CHANGE_INFO">'Сведения об изменении'!$E$13</definedName>
    <definedName name="pIns_Comm">Комментарии!$E$12</definedName>
    <definedName name="pIns_ED">ЭД!$E$13</definedName>
    <definedName name="pIns_IP_DETAILED">'ИП. Детализация'!$F$14</definedName>
    <definedName name="pIns_IP_FIN_PLAN">'ИП. Финансовый план'!$K$8</definedName>
    <definedName name="pIns_IP_MAIN">ИП!$G$13</definedName>
    <definedName name="pIns_IP_QRE">'ИП. КНЭ'!$F$21</definedName>
    <definedName name="pIns_List07">'Сведения об изменении'!$E$13</definedName>
    <definedName name="pIns_LT_AREA">'Список территорий'!$G$15</definedName>
    <definedName name="pIns_ORG_INFO_1">'Общая информация об организации'!$E$42</definedName>
    <definedName name="pIns_ORG_INFO_2">'Общая информация об организации'!$E$50</definedName>
    <definedName name="pIns_ORG_INFO_3">'Общая информация об организации'!$E$24</definedName>
    <definedName name="pIns_ORG_TERRITORY">'Сведения по территориям'!$G$13</definedName>
    <definedName name="pIns_ORG_VD_1">'Общая информация по ВД'!$E$13</definedName>
    <definedName name="pIns_ORG_VD_2">'Общая информация по ВД'!$F$13</definedName>
    <definedName name="pIns_ORG_VD_TKO_1">'Виды объектов'!$E$16</definedName>
    <definedName name="pIns_P_PROCEDURE_TC_1">'Порядок ТП'!$E$27</definedName>
    <definedName name="pIns_P_PROCEDURE_TC_2">'Порядок ТП'!$E$30</definedName>
    <definedName name="pIns_P_PROCEDURE_TC_3">'Порядок ТП'!$E$34</definedName>
    <definedName name="pIns_P_PROCEDURE_TC_4">'Порядок ТП'!$E$37</definedName>
    <definedName name="pIns_P_PROCEDURE_TC_5">'Порядок ТП'!$E$40</definedName>
    <definedName name="pIns_P_T_TERMS_1">Договоры!$E$15</definedName>
    <definedName name="pIns_P_T_TERMS_2">Договоры!$E$18</definedName>
    <definedName name="pIns_P_T_TERMS_3">Договоры!$E$22</definedName>
    <definedName name="pIns_P_T_TERMS_4">Договоры!$E$26</definedName>
    <definedName name="pIns_PT_VTAR_A">'ТС. Т-ТЭ | &gt;=25МВт'!$T$57</definedName>
    <definedName name="pIns_PT_VTAR_A_COLDVSNA">'ХВС. Т-пит'!$T$53</definedName>
    <definedName name="pIns_PT_VTAR_A_COLDVSNA_OFFER_1">Предложение!$G$53</definedName>
    <definedName name="pIns_PT_VTAR_A_COLDVSNA_OFFER_2">Предложение!$G$116</definedName>
    <definedName name="pIns_PT_VTAR_A_COLDVSNA_OFFER_3">Предложение!$G$177</definedName>
    <definedName name="pIns_PT_VTAR_A_COLDVSNA_OFFER_4">Предложение!$G$238</definedName>
    <definedName name="pIns_PT_VTAR_A_COLDVSNA_OFFER_5">Предложение!$G$299</definedName>
    <definedName name="pIns_PT_VTAR_A_COLDVSNA_OFFER5">Предложение!$G$299</definedName>
    <definedName name="pIns_PT_VTAR_A_HOTVSNA">'ГВС. Т-гор.вода'!$T$54</definedName>
    <definedName name="pIns_PT_VTAR_A_HOTVSNA_OFFER_1">Предложение!$G$68</definedName>
    <definedName name="pIns_PT_VTAR_A_HOTVSNA_OFFER_2">Предложение!$G$131</definedName>
    <definedName name="pIns_PT_VTAR_A_HOTVSNA_OFFER_3">Предложение!$G$192</definedName>
    <definedName name="pIns_PT_VTAR_A_HOTVSNA_OFFER_4">Предложение!$G$253</definedName>
    <definedName name="pIns_PT_VTAR_A_HOTVSNA_OFFER_5">Предложение!$G$314</definedName>
    <definedName name="pIns_PT_VTAR_A_OFFER_1">Предложение!$G$26</definedName>
    <definedName name="pIns_PT_VTAR_A_OFFER_2">Предложение!$G$89</definedName>
    <definedName name="pIns_PT_VTAR_A_OFFER_3">Предложение!$G$150</definedName>
    <definedName name="pIns_PT_VTAR_A_OFFER_4">Предложение!$G$211</definedName>
    <definedName name="pIns_PT_VTAR_A_OFFER_5">Предложение!$G$272</definedName>
    <definedName name="pIns_PT_VTAR_A_VOTV">'ВО. Т-во'!$T$53</definedName>
    <definedName name="pIns_PT_VTAR_A_VOTV_OFFER_1">Предложение!$G$77</definedName>
    <definedName name="pIns_PT_VTAR_A_VOTV_OFFER_2">Предложение!$G$140</definedName>
    <definedName name="pIns_PT_VTAR_A_VOTV_OFFER_3">Предложение!$G$201</definedName>
    <definedName name="pIns_PT_VTAR_A_VOTV_OFFER_4">Предложение!$G$262</definedName>
    <definedName name="pIns_PT_VTAR_A_VOTV_OFFER_5">Предложение!$G$323</definedName>
    <definedName name="pIns_PT_VTAR_B">'ТС. Т-ТЭ | ТСО'!$T$57</definedName>
    <definedName name="pIns_PT_VTAR_B_COLDVSNA">'ХВС. Т-тех'!$T$53</definedName>
    <definedName name="pIns_PT_VTAR_B_COLDVSNA_OFFER_1">Предложение!$G$56</definedName>
    <definedName name="pIns_PT_VTAR_B_COLDVSNA_OFFER_2">Предложение!$G$119</definedName>
    <definedName name="pIns_PT_VTAR_B_COLDVSNA_OFFER_3">Предложение!$G$180</definedName>
    <definedName name="pIns_PT_VTAR_B_COLDVSNA_OFFER_4">Предложение!$G$241</definedName>
    <definedName name="pIns_PT_VTAR_B_COLDVSNA_OFFER_5">Предложение!$G$302</definedName>
    <definedName name="pIns_PT_VTAR_B_HOTVSNA">'ГВС. Т-транс'!$T$54</definedName>
    <definedName name="pIns_PT_VTAR_B_HOTVSNA_OFFER_1">Предложение!$G$71</definedName>
    <definedName name="pIns_PT_VTAR_B_HOTVSNA_OFFER_2">Предложение!$G$134</definedName>
    <definedName name="pIns_PT_VTAR_B_HOTVSNA_OFFER_3">Предложение!$G$195</definedName>
    <definedName name="pIns_PT_VTAR_B_HOTVSNA_OFFER_4">Предложение!$G$256</definedName>
    <definedName name="pIns_PT_VTAR_B_HOTVSNA_OFFER_5">Предложение!$G$317</definedName>
    <definedName name="pIns_PT_VTAR_B_OFFER_1">Предложение!$G$29</definedName>
    <definedName name="pIns_PT_VTAR_B_OFFER_2">Предложение!$G$92</definedName>
    <definedName name="pIns_PT_VTAR_B_OFFER_3">Предложение!$G$153</definedName>
    <definedName name="pIns_PT_VTAR_B_OFFER_4">Предложение!$G$214</definedName>
    <definedName name="pIns_PT_VTAR_B_OFFER_5">Предложение!$G$275</definedName>
    <definedName name="pIns_PT_VTAR_B_VOTV">'ВО. Т-транс'!$T$53</definedName>
    <definedName name="pIns_PT_VTAR_B_VOTV_OFFER_1">Предложение!$G$80</definedName>
    <definedName name="pIns_PT_VTAR_B_VOTV_OFFER_2">Предложение!$G$143</definedName>
    <definedName name="pIns_PT_VTAR_B_VOTV_OFFER_3">Предложение!$G$204</definedName>
    <definedName name="pIns_PT_VTAR_B_VOTV_OFFER_4">Предложение!$G$265</definedName>
    <definedName name="pIns_PT_VTAR_B_VOTV_OFFER_5">Предложение!$G$326</definedName>
    <definedName name="pIns_PT_VTAR_C">'ТС. Т-ТН'!$T$57</definedName>
    <definedName name="pIns_PT_VTAR_C_COLDVSNA">'ХВС. Т-транс'!$T$53</definedName>
    <definedName name="pIns_PT_VTAR_C_COLDVSNA_OFFER_1">Предложение!$G$59</definedName>
    <definedName name="pIns_PT_VTAR_C_COLDVSNA_OFFER_2">Предложение!$G$122</definedName>
    <definedName name="pIns_PT_VTAR_C_COLDVSNA_OFFER_3">Предложение!$G$183</definedName>
    <definedName name="pIns_PT_VTAR_C_COLDVSNA_OFFER_4">Предложение!$G$244</definedName>
    <definedName name="pIns_PT_VTAR_C_COLDVSNA_OFFER_5">Предложение!$G$305</definedName>
    <definedName name="pIns_PT_VTAR_C_HOTVSNA">'ГВС. Т-подкл'!$T$63</definedName>
    <definedName name="pIns_PT_VTAR_C_HOTVSNA_OFFER_1">Предложение!$G$74</definedName>
    <definedName name="pIns_PT_VTAR_C_HOTVSNA_OFFER_2">Предложение!$G$137</definedName>
    <definedName name="pIns_PT_VTAR_C_HOTVSNA_OFFER_3">Предложение!$G$198</definedName>
    <definedName name="pIns_PT_VTAR_C_HOTVSNA_OFFER_4">Предложение!$G$259</definedName>
    <definedName name="pIns_PT_VTAR_C_HOTVSNA_OFFER_5">Предложение!$G$320</definedName>
    <definedName name="pIns_PT_VTAR_C_OFFER_1">Предложение!$G$32</definedName>
    <definedName name="pIns_PT_VTAR_C_OFFER_2">Предложение!$G$95</definedName>
    <definedName name="pIns_PT_VTAR_C_OFFER_3">Предложение!$G$156</definedName>
    <definedName name="pIns_PT_VTAR_C_OFFER_4">Предложение!$G$217</definedName>
    <definedName name="pIns_PT_VTAR_C_OFFER_5">Предложение!$G$278</definedName>
    <definedName name="pIns_PT_VTAR_C_VOTV">'ВО. Т-подкл'!$T$63</definedName>
    <definedName name="pIns_PT_VTAR_C_VOTV_OFFER_1">Предложение!$G$83</definedName>
    <definedName name="pIns_PT_VTAR_C_VOTV_OFFER_2">Предложение!$G$146</definedName>
    <definedName name="pIns_PT_VTAR_C_VOTV_OFFER_3">Предложение!$G$207</definedName>
    <definedName name="pIns_PT_VTAR_C_VOTV_OFFER_4">Предложение!$G$268</definedName>
    <definedName name="pIns_PT_VTAR_C_VOTV_OFFER_5">Предложение!$G$329</definedName>
    <definedName name="pIns_PT_VTAR_D">'ТС. Т-гор.вода'!$V$65</definedName>
    <definedName name="pIns_PT_VTAR_D_COLDVSNA">'ХВС. Т-подвоз'!$T$53</definedName>
    <definedName name="pIns_PT_VTAR_D_COLDVSNA_OFFER_1">Предложение!$G$62</definedName>
    <definedName name="pIns_PT_VTAR_D_COLDVSNA_OFFER_2">Предложение!$G$125</definedName>
    <definedName name="pIns_PT_VTAR_D_COLDVSNA_OFFER_3">Предложение!$G$186</definedName>
    <definedName name="pIns_PT_VTAR_D_COLDVSNA_OFFER_4">Предложение!$G$247</definedName>
    <definedName name="pIns_PT_VTAR_D_COLDVSNA_OFFER_5">Предложение!$G$308</definedName>
    <definedName name="pIns_PT_VTAR_D_OFFER_1">Предложение!$G$35</definedName>
    <definedName name="pIns_PT_VTAR_D_OFFER_2">Предложение!$G$98</definedName>
    <definedName name="pIns_PT_VTAR_D_OFFER_3">Предложение!$G$159</definedName>
    <definedName name="pIns_PT_VTAR_D_OFFER_4">Предложение!$G$220</definedName>
    <definedName name="pIns_PT_VTAR_D_OFFER_5">Предложение!$G$281</definedName>
    <definedName name="pIns_PT_VTAR_E_COLDVSNA">'ХВС. Т-подкл'!$T$63</definedName>
    <definedName name="pIns_PT_VTAR_E_COLDVSNA_OFFER_1">Предложение!$G$65</definedName>
    <definedName name="pIns_PT_VTAR_E_COLDVSNA_OFFER_2">Предложение!$G$128</definedName>
    <definedName name="pIns_PT_VTAR_E_COLDVSNA_OFFER_3">Предложение!$G$189</definedName>
    <definedName name="pIns_PT_VTAR_E_COLDVSNA_OFFER_4">Предложение!$G$250</definedName>
    <definedName name="pIns_PT_VTAR_E_COLDVSNA_OFFER_5">Предложение!$G$311</definedName>
    <definedName name="pIns_PT_VTAR_E1">'ТС. Т-передача ТЭ'!$T$57</definedName>
    <definedName name="pIns_PT_VTAR_E1_OFFER_1">Предложение!$G$38</definedName>
    <definedName name="pIns_PT_VTAR_E1_OFFER_2">Предложение!$G$101</definedName>
    <definedName name="pIns_PT_VTAR_E1_OFFER_3">Предложение!$G$162</definedName>
    <definedName name="pIns_PT_VTAR_E1_OFFER_4">Предложение!$G$223</definedName>
    <definedName name="pIns_PT_VTAR_E1_OFFER_5">Предложение!$G$284</definedName>
    <definedName name="pIns_PT_VTAR_E2">'ТС. Т-передача ТН'!$T$57</definedName>
    <definedName name="pIns_PT_VTAR_E2_OFFER_1">Предложение!$G$41</definedName>
    <definedName name="pIns_PT_VTAR_E2_OFFER_2">Предложение!$G$104</definedName>
    <definedName name="pIns_PT_VTAR_E2_OFFER_3">Предложение!$G$165</definedName>
    <definedName name="pIns_PT_VTAR_E2_OFFER_4">Предложение!$G$226</definedName>
    <definedName name="pIns_PT_VTAR_E2_OFFER_5">Предложение!$G$287</definedName>
    <definedName name="pIns_PT_VTAR_F">'ТС. Резерв мощности'!$T$57</definedName>
    <definedName name="pIns_PT_VTAR_F_OFFER_1">Предложение!$G$44</definedName>
    <definedName name="pIns_PT_VTAR_F_OFFER_2">Предложение!$G$107</definedName>
    <definedName name="pIns_PT_VTAR_F_OFFER_3">Предложение!$G$168</definedName>
    <definedName name="pIns_PT_VTAR_F_OFFER_4">Предложение!$G$229</definedName>
    <definedName name="pIns_PT_VTAR_F_OFFER_5">Предложение!$G$290</definedName>
    <definedName name="pIns_PT_VTAR_G">'ТС. Т-подкл'!$T$62</definedName>
    <definedName name="pIns_PT_VTAR_G_OFFER_1">Предложение!$G$47</definedName>
    <definedName name="pIns_PT_VTAR_G_OFFER_2">Предложение!$G$110</definedName>
    <definedName name="pIns_PT_VTAR_G_OFFER_3">Предложение!$G$171</definedName>
    <definedName name="pIns_PT_VTAR_G_OFFER_4">Предложение!$G$232</definedName>
    <definedName name="pIns_PT_VTAR_G_OFFER_5">Предложение!$G$293</definedName>
    <definedName name="pIns_PT_VTAR_H">'ТС. Т-подкл(инд)'!$T$56</definedName>
    <definedName name="pIns_PT_VTAR_H_OFFER_1">Предложение!$G$50</definedName>
    <definedName name="pIns_PT_VTAR_H_OFFER_2">Предложение!$G$113</definedName>
    <definedName name="pIns_PT_VTAR_H_OFFER_3">Предложение!$G$174</definedName>
    <definedName name="pIns_PT_VTAR_H_OFFER_4">Предложение!$G$235</definedName>
    <definedName name="pIns_PT_VTAR_H_OFFER_5">Предложение!$G$296</definedName>
    <definedName name="pIns_PT_VTAR_I">'ТС. Т-ТЭ | предел'!$T$57</definedName>
    <definedName name="pIns_PT_VTAR_I_1">'ТС. Т-ТЭ | индикат'!$T$57</definedName>
    <definedName name="pIns_Q_LIMIT_1">Ограничения!$E$33</definedName>
    <definedName name="pIns_Q_LIMIT_2">Ограничения!$E$35</definedName>
    <definedName name="pIns_Q_LIMIT_3">Ограничения!$E$37</definedName>
    <definedName name="pIns_Q_LIMIT_4">Ограничения!$E$39</definedName>
    <definedName name="pIns_Q_LIMIT_DIFFERENTIATION">Ограничения!$M$25</definedName>
    <definedName name="pIns_Q_PH_DIFFERENTIATION">'Потребительские характеристики'!$M$8</definedName>
    <definedName name="pIns_Q_TP_1">ТП!$E$22</definedName>
    <definedName name="pIns_Q_TP_DIFFERENTIATION">ТП!$J$8</definedName>
    <definedName name="pIns_R_B_Purch_1">'Сведения о закупках'!$E$14</definedName>
    <definedName name="pIns_ROIV_CASE_case">'Дела об установлении тарифов'!$F$11</definedName>
    <definedName name="pIns_ROIV_CASE_PUC_case">'Дела об утверждении ПУЦ'!$F$11</definedName>
    <definedName name="pIns_ROIV_INFO_phone">'Орган регулирования'!$E$21</definedName>
    <definedName name="pIns_ROIV_ORG_org">'Перечень организаций'!$F$10</definedName>
    <definedName name="pIns_ROIV_OTV_org">'Привлечение к ответственности'!$F$15</definedName>
    <definedName name="pIns_ver_COLDVSNA_TARIFF_A_COLDVSNA">'ХВС. Т-пит'!$AJ$37</definedName>
    <definedName name="pIns_ver_COLDVSNA_TARIFF_B_COLDVSNA">'ХВС. Т-тех'!$AJ$37</definedName>
    <definedName name="pIns_ver_COLDVSNA_TARIFF_C_COLDVSNA">'ХВС. Т-транс'!$AJ$37</definedName>
    <definedName name="pIns_ver_COLDVSNA_TARIFF_D_COLDVSNA">'ХВС. Т-подвоз'!$AJ$37</definedName>
    <definedName name="pIns_ver_COLDVSNA_TARIFF_E_COLDVSNA">'ХВС. Т-подкл'!$BB$41</definedName>
    <definedName name="pIns_ver_HEAT_TARIFF_A">'ТС. Т-ТЭ | &gt;=25МВт'!$AL$39</definedName>
    <definedName name="pIns_ver_HEAT_TARIFF_B">'ТС. Т-ТЭ | ТСО'!$AL$39</definedName>
    <definedName name="pIns_ver_HEAT_TARIFF_C">'ТС. Т-ТН'!$AL$39</definedName>
    <definedName name="pIns_ver_HEAT_TARIFF_D">'ТС. Т-гор.вода'!$AP$43</definedName>
    <definedName name="pIns_ver_HEAT_TARIFF_E1">'ТС. Т-передача ТЭ'!$AL$39</definedName>
    <definedName name="pIns_ver_HEAT_TARIFF_E2">'ТС. Т-передача ТН'!$AL$39</definedName>
    <definedName name="pIns_ver_HEAT_TARIFF_F">'ТС. Резерв мощности'!$AL$39</definedName>
    <definedName name="pIns_ver_HEAT_TARIFF_G">'ТС. Т-подкл'!$AT$40</definedName>
    <definedName name="pIns_ver_HEAT_TARIFF_H">'ТС. Т-подкл(инд)'!$AJ$37</definedName>
    <definedName name="pIns_ver_HEAT_TARIFF_I">'ТС. Т-ТЭ | предел'!$AL$39</definedName>
    <definedName name="pIns_ver_HEAT_TARIFF_I_1">'ТС. Т-ТЭ | индикат'!$AL$39</definedName>
    <definedName name="pIns_ver_HOTVSNA_TARIFF_A_HOTVSNA">'ГВС. Т-гор.вода'!$AR$37</definedName>
    <definedName name="pIns_ver_HOTVSNA_TARIFF_B_HOTVSNA">'ГВС. Т-транс'!$AR$37</definedName>
    <definedName name="pIns_ver_HOTVSNA_TARIFF_C_HOTVSNA">'ГВС. Т-подкл'!$BB$41</definedName>
    <definedName name="pIns_ver_VOTV_TARIFF_A_VOTV">'ВО. Т-во'!$AJ$37</definedName>
    <definedName name="pIns_ver_VOTV_TARIFF_B_VOTV">'ВО. Т-транс'!$AJ$37</definedName>
    <definedName name="pIns_ver_VOTV_TARIFF_C_VOTV">'ВО. Т-подкл'!$BB$41</definedName>
    <definedName name="pNote_LIMIT">Ограничения!$M$26</definedName>
    <definedName name="pNote_Q_PH">'Потребительские характеристики'!$M$9</definedName>
    <definedName name="pNum_Q_LIMIT">Ограничения!$D$31</definedName>
    <definedName name="PROCEDURE_TC_NAME_FORM">DATA_FORMS!$C$30</definedName>
    <definedName name="PT_ADD_HL_CS_COLUMN_MARKER">'Перечень тарифов'!$R$8</definedName>
    <definedName name="PT_ADD_HL_IST_TE_COLUMN_MARKER">'Перечень тарифов'!$V$8</definedName>
    <definedName name="PT_ADD_HL_NTAR_COLUMN_MARKER">'Перечень тарифов'!$J$8</definedName>
    <definedName name="PT_ADD_HL_TER_COLUMN_MARKER">'Перечень тарифов'!$N$8</definedName>
    <definedName name="PT_ADD_HL_VTAR_COLUMN_MARKER">'Перечень тарифов'!$E$8</definedName>
    <definedName name="pt_cs_1">'ТС. Т-ТЭ | &gt;=25МВт'!$45:$54</definedName>
    <definedName name="pt_cs_10">'ХВС. Т-тех'!$43:$50</definedName>
    <definedName name="pt_cs_11">'ХВС. Т-транс'!$43:$50</definedName>
    <definedName name="pt_cs_12">'ХВС. Т-подвоз'!$43:$50</definedName>
    <definedName name="pt_cs_13">'ХВС. Т-подкл'!$48:$60</definedName>
    <definedName name="pt_cs_14">'ГВС. Т-гор.вода'!$44:$51</definedName>
    <definedName name="pt_cs_15">'ГВС. Т-транс'!$44:$51</definedName>
    <definedName name="pt_cs_16">'ГВС. Т-подкл'!$48:$60</definedName>
    <definedName name="pt_cs_17">'ВО. Т-во'!$43:$50</definedName>
    <definedName name="pt_cs_18">'ВО. Т-транс'!$43:$50</definedName>
    <definedName name="pt_cs_19">'ВО. Т-подкл'!$48:$60</definedName>
    <definedName name="pt_cs_2">'ТС. Т-ТЭ | ТСО'!$45:$54</definedName>
    <definedName name="pt_cs_20">'ТС. Т-подкл(инд)'!$44:$52</definedName>
    <definedName name="pt_cs_21">'ТС. Т-ТЭ | предел'!$45:$54</definedName>
    <definedName name="pt_cs_21_1">'ТС. Т-ТЭ | индикат'!$45:$54</definedName>
    <definedName name="pt_cs_3">'ТС. Т-ТН'!$45:$54</definedName>
    <definedName name="pt_cs_4">'ТС. Т-гор.вода'!$51:$62</definedName>
    <definedName name="pt_cs_5">'ТС. Т-передача ТЭ'!$45:$54</definedName>
    <definedName name="pt_cs_6">'ТС. Т-передача ТН'!$45:$54</definedName>
    <definedName name="pt_cs_7">'ТС. Резерв мощности'!$45:$54</definedName>
    <definedName name="pt_cs_8">'ТС. Т-подкл'!$47:$58</definedName>
    <definedName name="pt_cs_9">'ХВС. Т-пит'!$43:$50</definedName>
    <definedName name="PT_DEL_HL_CS_COLUMN_MARKER">'Перечень тарифов'!$P$8</definedName>
    <definedName name="PT_DEL_HL_IST_TE_COLUMN_MARKER">'Перечень тарифов'!$T$8</definedName>
    <definedName name="PT_DEL_HL_NTAR_COLUMN_MARKER">'Перечень тарифов'!$H$8</definedName>
    <definedName name="PT_DEL_HL_TER_COLUMN_MARKER">'Перечень тарифов'!$L$8</definedName>
    <definedName name="PT_DEL_HL_VTAR_COLUMN_MARKER">'Перечень тарифов'!$C$8</definedName>
    <definedName name="PT_DIAMETERS_2_LIST">TEHSHEET!$AZ$76:$AZ$82</definedName>
    <definedName name="PT_DIAMETERS_LIST">TEHSHEET!$AZ$60:$AZ$64</definedName>
    <definedName name="PT_DIFFERENTIATION_CS">'Перечень тарифов'!$AL$12:$AL$137</definedName>
    <definedName name="PT_DIFFERENTIATION_CS_ID">'Перечень тарифов'!$AF$12:$AF$137</definedName>
    <definedName name="PT_DIFFERENTIATION_IST_TE">'Перечень тарифов'!$AM$12:$AM$137</definedName>
    <definedName name="PT_DIFFERENTIATION_IST_TE_ID">'Перечень тарифов'!$AG$12:$AG$137</definedName>
    <definedName name="PT_DIFFERENTIATION_NTAR">'Перечень тарифов'!$AJ$12:$AJ$137</definedName>
    <definedName name="PT_DIFFERENTIATION_NTAR_ID">'Перечень тарифов'!$AD$12:$AD$137</definedName>
    <definedName name="PT_DIFFERENTIATION_NUM_CS">'Перечень тарифов'!$AP$12:$AP$137</definedName>
    <definedName name="PT_DIFFERENTIATION_NUM_IST_TE">'Перечень тарифов'!$AQ$12:$AQ$137</definedName>
    <definedName name="PT_DIFFERENTIATION_NUM_NTAR">'Перечень тарифов'!$AN$12:$AN$137</definedName>
    <definedName name="PT_DIFFERENTIATION_NUM_TER">'Перечень тарифов'!$AO$12:$AO$137</definedName>
    <definedName name="PT_DIFFERENTIATION_TER">'Перечень тарифов'!$AK$12:$AK$137</definedName>
    <definedName name="PT_DIFFERENTIATION_TER_ID">'Перечень тарифов'!$AE$12:$AE$137</definedName>
    <definedName name="PT_DIFFERENTIATION_VDET">'Перечень тарифов'!$AI$12:$AI$137</definedName>
    <definedName name="PT_DIFFERENTIATION_VTAR">'Перечень тарифов'!$AH$12:$AH$137</definedName>
    <definedName name="PT_DIFFERENTIATION_VTAR_ID">'Перечень тарифов'!$AC$12:$AC$137</definedName>
    <definedName name="PT_FLAG_CS_COLUMN_MARKER">'Перечень тарифов'!$O$8</definedName>
    <definedName name="PT_FLAG_IST_TE_COLUMN_MARKER">'Перечень тарифов'!$S$8</definedName>
    <definedName name="PT_FLAG_TER_COLUMN_MARKER">'Перечень тарифов'!$K$8</definedName>
    <definedName name="PT_FLAG_VTAR_COLUMN_MARKER">'Перечень тарифов'!$F$8</definedName>
    <definedName name="PT_GROUP_CONSUMER_LIST">TEHSHEET!$AZ$29:$AZ$33</definedName>
    <definedName name="PT_HEAT_PRICE_INDICATORS_LEVEL">'Перечень тарифов'!$F$63</definedName>
    <definedName name="pt_ist_te_1">'ТС. Т-ТЭ | &gt;=25МВт'!$46:$53</definedName>
    <definedName name="pt_ist_te_2">'ТС. Т-ТЭ | ТСО'!$46:$53</definedName>
    <definedName name="pt_ist_te_20">'ТС. Т-подкл(инд)'!$45:$51</definedName>
    <definedName name="pt_ist_te_21">'ТС. Т-ТЭ | предел'!$46:$53</definedName>
    <definedName name="pt_ist_te_21_1">'ТС. Т-ТЭ | индикат'!$46:$53</definedName>
    <definedName name="pt_ist_te_3">'ТС. Т-ТН'!$46:$53</definedName>
    <definedName name="pt_ist_te_4">'ТС. Т-гор.вода'!$52:$61</definedName>
    <definedName name="pt_ist_te_5">'ТС. Т-передача ТЭ'!$46:$53</definedName>
    <definedName name="pt_ist_te_6">'ТС. Т-передача ТН'!$46:$53</definedName>
    <definedName name="pt_ist_te_7">'ТС. Резерв мощности'!$46:$53</definedName>
    <definedName name="pt_ist_te_8">'ТС. Т-подкл'!$48:$57</definedName>
    <definedName name="PT_LOAD_LIST">TEHSHEET!$AZ$67:$AZ$72</definedName>
    <definedName name="PT_NETS_LIST">TEHSHEET!$AZ$55:$AZ$57</definedName>
    <definedName name="pt_ntar_1">'ТС. Т-ТЭ | &gt;=25МВт'!$43:$56</definedName>
    <definedName name="pt_ntar_10">'ХВС. Т-тех'!$41:$52</definedName>
    <definedName name="pt_ntar_11">'ХВС. Т-транс'!$41:$52</definedName>
    <definedName name="pt_ntar_12">'ХВС. Т-подвоз'!$41:$52</definedName>
    <definedName name="pt_ntar_13">'ХВС. Т-подкл'!$46:$62</definedName>
    <definedName name="pt_ntar_14">'ГВС. Т-гор.вода'!$42:$53</definedName>
    <definedName name="pt_ntar_15">'ГВС. Т-транс'!$42:$53</definedName>
    <definedName name="pt_ntar_16">'ГВС. Т-подкл'!$46:$62</definedName>
    <definedName name="pt_ntar_17">'ВО. Т-во'!$41:$52</definedName>
    <definedName name="pt_ntar_18">'ВО. Т-транс'!$41:$52</definedName>
    <definedName name="pt_ntar_19">'ВО. Т-подкл'!$46:$62</definedName>
    <definedName name="pt_ntar_2">'ТС. Т-ТЭ | ТСО'!$43:$56</definedName>
    <definedName name="pt_ntar_20">'ТС. Т-подкл(инд)'!$42:$55</definedName>
    <definedName name="pt_ntar_21">'ТС. Т-ТЭ | предел'!$43:$56</definedName>
    <definedName name="pt_ntar_21_1">'ТС. Т-ТЭ | индикат'!$43:$56</definedName>
    <definedName name="pt_ntar_3">'ТС. Т-ТН'!$43:$56</definedName>
    <definedName name="pt_ntar_4">'ТС. Т-гор.вода'!$49:$64</definedName>
    <definedName name="pt_ntar_5">'ТС. Т-передача ТЭ'!$43:$56</definedName>
    <definedName name="pt_ntar_6">'ТС. Т-передача ТН'!$43:$56</definedName>
    <definedName name="pt_ntar_7">'ТС. Резерв мощности'!$43:$56</definedName>
    <definedName name="pt_ntar_8">'ТС. Т-подкл'!$45:$61</definedName>
    <definedName name="pt_ntar_9">'ХВС. Т-пит'!$41:$52</definedName>
    <definedName name="PT_P_FORM_COLDVSNA_4_NAME_FORM">DATA_FORMS!$C$17</definedName>
    <definedName name="PT_P_FORM_COLDVSNA_5_NAME_FORM">DATA_FORMS!$C$18</definedName>
    <definedName name="PT_P_FORM_HEAT_21_NAME_FORM">DATA_FORMS!$C$13</definedName>
    <definedName name="PT_P_FORM_HEAT_22_NAME_FORM">DATA_FORMS!$C$14</definedName>
    <definedName name="PT_P_FORM_HEAT_4_NAME_FORM">DATA_FORMS!$C$9</definedName>
    <definedName name="PT_P_FORM_HEAT_5_NAME_FORM">DATA_FORMS!$C$10</definedName>
    <definedName name="PT_P_FORM_HEAT_6_NAME_FORM">DATA_FORMS!$C$11</definedName>
    <definedName name="PT_P_FORM_HEAT_7_NAME_FORM">DATA_FORMS!$C$12</definedName>
    <definedName name="PT_P_FORM_HOTVSNA_4_NAME_FORM">DATA_FORMS!$C$21</definedName>
    <definedName name="PT_P_FORM_HOTVSNA_5_NAME_FORM">DATA_FORMS!$C$22</definedName>
    <definedName name="PT_P_FORM_VOTV_4_NAME_FORM">DATA_FORMS!$C$25</definedName>
    <definedName name="PT_P_FORM_VOTV_5_NAME_FORM">DATA_FORMS!$C$26</definedName>
    <definedName name="PT_R_FORM_COLDVSNA_16_NAME_FORM">DATA_FORMS!$C$19</definedName>
    <definedName name="PT_R_FORM_COLDVSNA_17_NAME_FORM">DATA_FORMS!$C$20</definedName>
    <definedName name="PT_R_FORM_HEAT_21_NAME_FORM">DATA_FORMS!$C$13</definedName>
    <definedName name="PT_R_FORM_HEAT_22_NAME_FORM">DATA_FORMS!$C$14</definedName>
    <definedName name="PT_R_FORM_HEAT_23_NAME_FORM">DATA_FORMS!$C$15</definedName>
    <definedName name="PT_R_FORM_HEAT_24_NAME_FORM">DATA_FORMS!$C$16</definedName>
    <definedName name="PT_R_FORM_HOTVSNA_16_NAME_FORM">DATA_FORMS!$C$23</definedName>
    <definedName name="PT_R_FORM_HOTVSNA_17_NAME_FORM">DATA_FORMS!$C$24</definedName>
    <definedName name="PT_R_FORM_VOTV_16_NAME_FORM">DATA_FORMS!$C$27</definedName>
    <definedName name="PT_R_FORM_VOTV_17_NAME_FORM">DATA_FORMS!$C$28</definedName>
    <definedName name="PT_SCHEME_LIST">TEHSHEET!$AZ$36:$AZ$39</definedName>
    <definedName name="pt_ter_1">'ТС. Т-ТЭ | &gt;=25МВт'!$44:$55</definedName>
    <definedName name="pt_ter_10">'ХВС. Т-тех'!$42:$51</definedName>
    <definedName name="pt_ter_11">'ХВС. Т-транс'!$42:$51</definedName>
    <definedName name="pt_ter_12">'ХВС. Т-подвоз'!$42:$51</definedName>
    <definedName name="pt_ter_13">'ХВС. Т-подкл'!$47:$61</definedName>
    <definedName name="pt_ter_14">'ГВС. Т-гор.вода'!$43:$52</definedName>
    <definedName name="pt_ter_15">'ГВС. Т-транс'!$43:$52</definedName>
    <definedName name="pt_ter_16">'ГВС. Т-подкл'!$47:$61</definedName>
    <definedName name="pt_ter_17">'ВО. Т-во'!$42:$51</definedName>
    <definedName name="pt_ter_18">'ВО. Т-транс'!$42:$51</definedName>
    <definedName name="pt_ter_19">'ВО. Т-подкл'!$47:$61</definedName>
    <definedName name="pt_ter_2">'ТС. Т-ТЭ | ТСО'!$44:$55</definedName>
    <definedName name="pt_ter_20">'ТС. Т-подкл(инд)'!$43:$53</definedName>
    <definedName name="pt_ter_21">'ТС. Т-ТЭ | предел'!$44:$55</definedName>
    <definedName name="pt_ter_21_1">'ТС. Т-ТЭ | индикат'!$44:$55</definedName>
    <definedName name="pt_ter_3">'ТС. Т-ТН'!$44:$55</definedName>
    <definedName name="pt_ter_4">'ТС. Т-гор.вода'!$50:$63</definedName>
    <definedName name="pt_ter_5">'ТС. Т-передача ТЭ'!$44:$55</definedName>
    <definedName name="pt_ter_6">'ТС. Т-передача ТН'!$44:$55</definedName>
    <definedName name="pt_ter_7">'ТС. Резерв мощности'!$44:$55</definedName>
    <definedName name="pt_ter_8">'ТС. Т-подкл'!$46:$59</definedName>
    <definedName name="pt_ter_9">'ХВС. Т-пит'!$42:$51</definedName>
    <definedName name="PT_TN_LIST">TEHSHEET!$AZ$42:$AZ$52</definedName>
    <definedName name="PT_VDET_COLUMN_MARKER">'Перечень тарифов'!$G$8</definedName>
    <definedName name="PURCH_NAME_FORM">DATA_FORMS!$C$29</definedName>
    <definedName name="Q_LIMIT_CheckC">Ограничения!$E$32:$M$39</definedName>
    <definedName name="Q_LIMIT_diff_1">Ограничения!$I$26:$J$28</definedName>
    <definedName name="Q_LIMIT_p3">Ограничения!$F$36:$M$37</definedName>
    <definedName name="Q_LIMIT_p4">Ограничения!$F$38:$M$39</definedName>
    <definedName name="Q_PH_diff_1">'Потребительские характеристики'!$I$9:$J$11</definedName>
    <definedName name="Q_TP_COUNT_REFUSAL">ТП!$H$17:$H$17</definedName>
    <definedName name="Q_TP_diff_1">ТП!$H$9:$H$11</definedName>
    <definedName name="QRE_METHOD_LIST">TEHSHEET!$AZ$8:$AZ$10</definedName>
    <definedName name="QUARTER">TEHSHEET!$F$2:$F$5</definedName>
    <definedName name="R_OFFER_ADD_PERIOD_HL_COLUMN_MARKER">Предложение!$I$12</definedName>
    <definedName name="R_OFFER_CHANGE_HL_COLUMN_MARKER">Предложение!$K$12</definedName>
    <definedName name="R_OFFER_DEL_HL_COLUMN_MARKER">Предложение!$H$12</definedName>
    <definedName name="R_OFFER_FLAG_HL_COLUMN_MARKER">Предложение!$C$12</definedName>
    <definedName name="REESTR_LINK_RANGE">REESTR_LINK!$A$2:$C$3</definedName>
    <definedName name="REESTR_VT_RANGE">REESTR_VT!$A$2:$B$11</definedName>
    <definedName name="REGION">TEHSHEET!$A$2:$A$91</definedName>
    <definedName name="region_name">Титульный!$F$7</definedName>
    <definedName name="RegulatoryPeriod">Титульный!$F$11:$F$12</definedName>
    <definedName name="ReportPeriod">Титульный!$F$11:$F$15</definedName>
    <definedName name="ROIV_CASE_ADD_HL_CASE_COLUMN_MARKER">'Дела об установлении тарифов'!$F$1</definedName>
    <definedName name="ROIV_CASE_DATE">'Дела об установлении тарифов'!$G$10:$G$11</definedName>
    <definedName name="ROIV_CASE_DEL_HL_CASE_COLUMN_MARKER">'Дела об установлении тарифов'!$D$1</definedName>
    <definedName name="ROIV_CASE_NUM_CASE_COLUMN_MARKER">'Дела об установлении тарифов'!$E$1</definedName>
    <definedName name="ROIV_CASE_PROTOKOL">'Дела об установлении тарифов'!$K$10:$K$11</definedName>
    <definedName name="ROIV_CASE_PROTOKOL_ET">'Дела об установлении тарифов'!$K$2</definedName>
    <definedName name="ROIV_CASE_PUC_ADD_HL_CASE_COLUMN_MARKER">'Дела об утверждении ПУЦ'!$F$1</definedName>
    <definedName name="ROIV_CASE_PUC_DATE">'Дела об утверждении ПУЦ'!$G$10:$G$11</definedName>
    <definedName name="ROIV_CASE_PUC_DEL_HL_CASE_COLUMN_MARKER">'Дела об утверждении ПУЦ'!$D$1</definedName>
    <definedName name="ROIV_CASE_PUC_NUM_CASE_COLUMN_MARKER">'Дела об утверждении ПУЦ'!$E$1</definedName>
    <definedName name="ROIV_CASE_PUC_PROTOKOL">'Дела об утверждении ПУЦ'!$K$10:$K$11</definedName>
    <definedName name="ROIV_CASE_PUC_PROTOKOL_ET">'Дела об утверждении ПУЦ'!$K$2</definedName>
    <definedName name="ROIV_CASE_PUC_RESH">'Дела об утверждении ПУЦ'!$J$10:$J$11</definedName>
    <definedName name="ROIV_CASE_PUC_RESH_ET">'Дела об утверждении ПУЦ'!$J$2</definedName>
    <definedName name="ROIV_CASE_RESH">'Дела об установлении тарифов'!$J$10:$J$11</definedName>
    <definedName name="ROIV_CASE_RESH_ET">'Дела об установлении тарифов'!$J$2</definedName>
    <definedName name="ROIV_INFO_COMMENT">TEHSHEET!$BA$97:$BA$103</definedName>
    <definedName name="ROIV_INFO_COMMENT_HEAT">TEHSHEET!$BA$97:$BA$103</definedName>
    <definedName name="ROIV_INFO_COMMENT_NO_HEAT">TEHSHEET!$BA$111:$BA$116</definedName>
    <definedName name="ROIV_INFO_DEL_HL_PHONE_COLUMN_MARKER">'Орган регулирования'!$C$1</definedName>
    <definedName name="ROIV_INFO_DOKLAD">'Орган регулирования'!$F$24</definedName>
    <definedName name="ROIV_INFO_LIST">TEHSHEET!$AZ$97:$AZ$103</definedName>
    <definedName name="ROIV_INFO_LIST_HEAT">TEHSHEET!$AZ$97:$AZ$103</definedName>
    <definedName name="ROIV_INFO_LIST_NO_HEAT">TEHSHEET!$AZ$111:$AZ$116</definedName>
    <definedName name="ROIV_INFO_NAME">'Орган регулирования'!$F$12</definedName>
    <definedName name="ROIV_INFO_NUM_PHONE_COLUMN_MARKER">'Орган регулирования'!$D$1</definedName>
    <definedName name="ROIV_ORG_DEL_HL_ORG_COLUMN_MARKER">'Перечень организаций'!$D$1</definedName>
    <definedName name="ROIV_ORG_INN_COLUMN_MARKER">'Перечень организаций'!$G$1</definedName>
    <definedName name="ROIV_ORG_KPP_COLUMN_MARKER">'Перечень организаций'!$H$1</definedName>
    <definedName name="ROIV_ORG_NAME_ORG_COLUMN_MARKER">'Перечень организаций'!$F$1</definedName>
    <definedName name="ROIV_ORG_NUM_ORG_COLUMN_MARKER">'Перечень организаций'!$E$1</definedName>
    <definedName name="ROIV_ORG_TECH_ORG_ID">'Перечень организаций'!$A$9:$A$10</definedName>
    <definedName name="ROIV_ORG_TECH_ORG_ID_COLUMN_MARKER">'Перечень организаций'!$A$1</definedName>
    <definedName name="ROIV_OTV_ADD_HL_DL_COLUMN_MARKER">'Привлечение к ответственности'!$K$1</definedName>
    <definedName name="ROIV_OTV_DEL_HL_DL_COLUMN_MARKER">'Привлечение к ответственности'!$I$1</definedName>
    <definedName name="ROIV_OTV_DEL_HL_ORG_COLUMN_MARKER">'Привлечение к ответственности'!$D$1</definedName>
    <definedName name="ROIV_OTV_INN_COLUMN_MARKER">'Привлечение к ответственности'!$H$1</definedName>
    <definedName name="ROIV_OTV_NAME_ORG_COLUMN_MARKER">'Привлечение к ответственности'!$G$1</definedName>
    <definedName name="ROIV_OTV_NUM_DL_COLUMN_MARKER">'Привлечение к ответственности'!$J$1</definedName>
    <definedName name="ROIV_OTV_NUM_ORG_COLUMN_MARKER">'Привлечение к ответственности'!$E$1</definedName>
    <definedName name="ROIV_OTV_TECH_ORG_ID_COLUMN_MARKER">'Привлечение к ответственности'!$A$1</definedName>
    <definedName name="RST_ORG_ID">Титульный!$F$72</definedName>
    <definedName name="SKI_number">TEHSHEET!$I$2:$I$21</definedName>
    <definedName name="StartDateList">TEHSHEET!$G$46:$G$53</definedName>
    <definedName name="tblEnd_1_B_FHD">'Показатели ФХД'!$K$131</definedName>
    <definedName name="tblEnd_1_B_FHD_TKO">'ТКО. Показатели ФХД'!$K$47</definedName>
    <definedName name="tblEnd_1_B_FHD_TKO_TRANS">'ТКО. Транс. Показатели ФХД'!$K$38</definedName>
    <definedName name="tblEnd_1_B_KNE">'Показатели КНЭ'!$J$101</definedName>
    <definedName name="tblEnd_1_B_OTEP">'Показатели ОТЭП'!$O$34</definedName>
    <definedName name="tblEnd_1_B_STANDARTS">'Стандарты качества'!$L$13</definedName>
    <definedName name="tblEnd_1_CHANGE_INFO">'Сведения об изменении'!$E$14</definedName>
    <definedName name="tblEnd_1_DIFFERENTIATION">Дифференциация!$M$20</definedName>
    <definedName name="tblEnd_1_DIFFERENTIATION_TARIFF">'Перечень тарифов'!$W$136</definedName>
    <definedName name="tblEnd_1_DIFFERENTIATION_TKO">'Дифференциация тариф показатель'!$AI$41</definedName>
    <definedName name="tblEnd_1_ED">ЭД!$H$14</definedName>
    <definedName name="tblEnd_1_IP_DETAILED">'ИП. Детализация'!$AH$14</definedName>
    <definedName name="tblEnd_1_IP_FIN_PLAN">'ИП. Финансовый план'!$K$58</definedName>
    <definedName name="tblEnd_1_IP_MAIN">ИП!$AB$14</definedName>
    <definedName name="tblEnd_1_IP_QRE">'ИП. КНЭ'!$FX$21</definedName>
    <definedName name="tblEnd_1_OFFER">Предложение!$L$330</definedName>
    <definedName name="tblEnd_1_ORG_INFO">'Общая информация об организации'!$F$52</definedName>
    <definedName name="tblEnd_1_ORG_TERRITORY">'Сведения по территориям'!$K$14</definedName>
    <definedName name="tblEnd_1_ORG_VD">'Общая информация по ВД'!$AI$14</definedName>
    <definedName name="tblEnd_1_ORG_VD_TKO">'Виды объектов'!$I$17</definedName>
    <definedName name="tblEnd_1_P_PROCEDURE_TC">'Порядок ТП'!$H$41</definedName>
    <definedName name="tblEnd_1_P_T_TERMS">Договоры!$F$28</definedName>
    <definedName name="tblEnd_1_Q_LIMIT">Ограничения!$M$40</definedName>
    <definedName name="tblEnd_1_Q_PH">'Потребительские характеристики'!$M$21</definedName>
    <definedName name="tblEnd_1_Q_TP">ТП!$J$23</definedName>
    <definedName name="tblEnd_1_R_B_Purch">'Сведения о закупках'!$G$15</definedName>
    <definedName name="tblEnd_1_R_Offer">Предложение!$L$330</definedName>
    <definedName name="tblEnd_1_ROIV_CASE">'Дела об установлении тарифов'!$K$12</definedName>
    <definedName name="tblEnd_1_ROIV_CASE_PUC">'Дела об утверждении ПУЦ'!$K$12</definedName>
    <definedName name="tblEnd_1_ROIV_INFO">'Орган регулирования'!$F$25</definedName>
    <definedName name="tblEnd_1_ROIV_ORG">'Перечень организаций'!$I$11</definedName>
    <definedName name="tblEnd_1_ROIV_OTV">'Привлечение к ответственности'!$M$16</definedName>
    <definedName name="tblEnd_1_TARIFF_A">'ТС. Т-ТЭ | &gt;=25МВт'!$AL$58</definedName>
    <definedName name="tblEnd_1_TARIFF_A_COLDVSNA">'ХВС. Т-пит'!$AJ$54</definedName>
    <definedName name="tblEnd_1_TARIFF_A_HOTVSNA">'ГВС. Т-гор.вода'!$AR$55</definedName>
    <definedName name="tblEnd_1_TARIFF_A_VOTV">'ВО. Т-во'!$AJ$54</definedName>
    <definedName name="tblEnd_1_TARIFF_B">'ТС. Т-ТЭ | ТСО'!$AL$58</definedName>
    <definedName name="tblEnd_1_TARIFF_B_COLDVSNA">'ХВС. Т-тех'!$AJ$54</definedName>
    <definedName name="tblEnd_1_TARIFF_B_HOTVSNA">'ГВС. Т-транс'!$AR$55</definedName>
    <definedName name="tblEnd_1_TARIFF_B_VOTV">'ВО. Т-транс'!$AJ$54</definedName>
    <definedName name="tblEnd_1_TARIFF_C">'ТС. Т-ТН'!$AL$58</definedName>
    <definedName name="tblEnd_1_TARIFF_C_COLDVSNA">'ХВС. Т-транс'!$AJ$54</definedName>
    <definedName name="tblEnd_1_TARIFF_C_HOTVSNA">'ГВС. Т-подкл'!$BB$64</definedName>
    <definedName name="tblEnd_1_TARIFF_C_VOTV">'ВО. Т-подкл'!$BB$64</definedName>
    <definedName name="tblEnd_1_TARIFF_D">'ТС. Т-гор.вода'!$AP$66</definedName>
    <definedName name="tblEnd_1_TARIFF_D_COLDVSNA">'ХВС. Т-подвоз'!$AJ$54</definedName>
    <definedName name="tblEnd_1_TARIFF_E_COLDVSNA">'ХВС. Т-подкл'!$BB$64</definedName>
    <definedName name="tblEnd_1_TARIFF_E1">'ТС. Т-передача ТЭ'!$AL$58</definedName>
    <definedName name="tblEnd_1_TARIFF_E2">'ТС. Т-передача ТН'!$AL$58</definedName>
    <definedName name="tblEnd_1_TARIFF_F">'ТС. Резерв мощности'!$AL$58</definedName>
    <definedName name="tblEnd_1_TARIFF_G">'ТС. Т-подкл'!$AT$63</definedName>
    <definedName name="tblEnd_1_TARIFF_H">'ТС. Т-подкл(инд)'!$AJ$57</definedName>
    <definedName name="tblEnd_1_TARIFF_I">'ТС. Т-ТЭ | предел'!$AL$54</definedName>
    <definedName name="tblEnd_1_TARIFF_I_1">'ТС. Т-ТЭ | индикат'!$AL$58</definedName>
    <definedName name="tblEnd_1_TERRITORY">'Список территорий'!$I$16</definedName>
    <definedName name="tblStart_1_B_FHD">'Показатели ФХД'!$I$30</definedName>
    <definedName name="tblStart_1_B_FHD_TKO">'ТКО. Показатели ФХД'!$I$15</definedName>
    <definedName name="tblStart_1_B_FHD_TKO_TRANS">'ТКО. Транс. Показатели ФХД'!$I$15</definedName>
    <definedName name="tblStart_1_B_KNE">'Показатели КНЭ'!$I$12</definedName>
    <definedName name="tblStart_1_B_OTEP">'Показатели ОТЭП'!$M$15</definedName>
    <definedName name="tblStart_1_B_STANDARTS">'Стандарты качества'!$L$10</definedName>
    <definedName name="tblStart_1_CHANGE_INFO">'Сведения об изменении'!$E$12</definedName>
    <definedName name="tblStart_1_DIFFERENTIATION">Дифференциация!$E$13</definedName>
    <definedName name="tblStart_1_DIFFERENTIATION_TARIFF">'Перечень тарифов'!$G$13</definedName>
    <definedName name="tblStart_1_DIFFERENTIATION_TKO">'Дифференциация тариф показатель'!$K$11</definedName>
    <definedName name="tblStart_1_ED">ЭД!$E$12</definedName>
    <definedName name="tblStart_1_IP_DETAILED">'ИП. Детализация'!$I$13</definedName>
    <definedName name="tblStart_1_IP_FIN_PLAN">'ИП. Финансовый план'!$J$14</definedName>
    <definedName name="tblStart_1_IP_MAIN">ИП!$H$11</definedName>
    <definedName name="tblStart_1_IP_QRE">'ИП. КНЭ'!$O$18</definedName>
    <definedName name="tblStart_1_OFFER">Предложение!$H$22</definedName>
    <definedName name="tblStart_1_ORG_INFO">'Общая информация об организации'!$F$13</definedName>
    <definedName name="tblStart_1_ORG_TERRITORY">'Сведения по территориям'!$G$12</definedName>
    <definedName name="tblStart_1_ORG_VD">'Общая информация по ВД'!$F$12</definedName>
    <definedName name="tblStart_1_ORG_VD_TKO">'Виды объектов'!$E$14</definedName>
    <definedName name="tblStart_1_P_PROCEDURE_TC">'Порядок ТП'!$G$22</definedName>
    <definedName name="tblStart_1_P_T_TERMS">Договоры!$F$14</definedName>
    <definedName name="tblStart_1_Q_LIMIT">Ограничения!$I$32</definedName>
    <definedName name="tblStart_1_Q_PH">'Потребительские характеристики'!$I$19</definedName>
    <definedName name="tblStart_1_Q_TP">ТП!$H$15</definedName>
    <definedName name="tblStart_1_R_B_Purch">'Сведения о закупках'!$F$10</definedName>
    <definedName name="tblStart_1_R_Offer">Предложение!$H$22</definedName>
    <definedName name="tblStart_1_ROIV_CASE">'Дела об установлении тарифов'!$G$10</definedName>
    <definedName name="tblStart_1_ROIV_CASE_PUC">'Дела об утверждении ПУЦ'!$G$10</definedName>
    <definedName name="tblStart_1_ROIV_INFO">'Орган регулирования'!$F$12</definedName>
    <definedName name="tblStart_1_ROIV_ORG">'Перечень организаций'!$F$9</definedName>
    <definedName name="tblStart_1_ROIV_OTV">'Привлечение к ответственности'!$K$13</definedName>
    <definedName name="tblStart_1_TARIFF_A">'ТС. Т-ТЭ | &gt;=25МВт'!$AD$43</definedName>
    <definedName name="tblStart_1_TARIFF_A_COLDVSNA">'ХВС. Т-пит'!$AC$41</definedName>
    <definedName name="tblStart_1_TARIFF_A_HOTVSNA">'ГВС. Т-гор.вода'!$AG$42</definedName>
    <definedName name="tblStart_1_TARIFF_A_VOTV">'ВО. Т-во'!$AC$41</definedName>
    <definedName name="tblStart_1_TARIFF_B">'ТС. Т-ТЭ | ТСО'!$AD$43</definedName>
    <definedName name="tblStart_1_TARIFF_B_COLDVSNA">'ХВС. Т-тех'!$AC$41</definedName>
    <definedName name="tblStart_1_TARIFF_B_HOTVSNA">'ГВС. Т-транс'!$AG$42</definedName>
    <definedName name="tblStart_1_TARIFF_B_VOTV">'ВО. Т-транс'!$AC$41</definedName>
    <definedName name="tblStart_1_TARIFF_C">'ТС. Т-ТН'!$AD$43</definedName>
    <definedName name="tblStart_1_TARIFF_C_COLDVSNA">'ХВС. Т-транс'!$AC$41</definedName>
    <definedName name="tblStart_1_TARIFF_C_HOTVSNA">'ГВС. Т-подкл'!$AD$46</definedName>
    <definedName name="tblStart_1_TARIFF_C_VOTV">'ВО. Т-подкл'!$AD$46</definedName>
    <definedName name="tblStart_1_TARIFF_D">'ТС. Т-гор.вода'!$AG$49</definedName>
    <definedName name="tblStart_1_TARIFF_D_COLDVSNA">'ХВС. Т-подвоз'!$AC$41</definedName>
    <definedName name="tblStart_1_TARIFF_E_COLDVSNA">'ХВС. Т-подкл'!$AD$46</definedName>
    <definedName name="tblStart_1_TARIFF_E1">'ТС. Т-передача ТЭ'!$AD$43</definedName>
    <definedName name="tblStart_1_TARIFF_E2">'ТС. Т-передача ТН'!$AD$43</definedName>
    <definedName name="tblStart_1_TARIFF_F">'ТС. Резерв мощности'!$AD$43</definedName>
    <definedName name="tblStart_1_TARIFF_G">'ТС. Т-подкл'!$AB$45</definedName>
    <definedName name="tblStart_1_TARIFF_H">'ТС. Т-подкл(инд)'!$AB$42</definedName>
    <definedName name="tblStart_1_TARIFF_I">'ТС. Т-ТЭ | предел'!$AD$43</definedName>
    <definedName name="tblStart_1_TARIFF_I_1">'ТС. Т-ТЭ | индикат'!$AD$43</definedName>
    <definedName name="tblStart_1_TERRITORY">'Список территорий'!$G$12</definedName>
    <definedName name="TECH_ORG_ID">Титульный!$F$1</definedName>
    <definedName name="TEMPLATE_DATA_POINT">DATA_NPA!$T$11:$X$16</definedName>
    <definedName name="TEMPLATE_DATA_POINT_FHD">DATA_NPA!$T$18:$W$146</definedName>
    <definedName name="TEMPLATE_GROUP">TEHSHEET!$E$45</definedName>
    <definedName name="TEMPLATE_NAME_FORM_LIST">DATA_FORMS!$D$3:$H$35</definedName>
    <definedName name="TEMPLATE_NOTE_POINT">DATA_NPA!$Z$11:$AD$15</definedName>
    <definedName name="TEMPLATE_NOTE_POINT_FHD">DATA_NPA!$Z$18:$AD$146</definedName>
    <definedName name="TEMPLATE_NUMBER_FORM_LIST">DATA_FORMS!$D$2:$H$2</definedName>
    <definedName name="TEMPLATE_NUMBER_POINT_FHD">DATA_NPA!$O$18:$S$146</definedName>
    <definedName name="TEMPLATE_ORG_DATA_POINT">DATA_NPA!$Z$3:$AD$9</definedName>
    <definedName name="TEMPLATE_SPHERE">TEHSHEET!$E$36</definedName>
    <definedName name="TEMPLATE_SPHERE_LIST">DATA_FORMS!$D$1:$H$1</definedName>
    <definedName name="TEMPLATE_SPHERE_LIST_FOR_NOTE">DATA_NPA!$Z$2:$AD$2</definedName>
    <definedName name="TEMPLATE_SPHERE_LIST_FOR_NPA">DATA_NPA!$T$2:$X$2</definedName>
    <definedName name="TEMPLATE_SPHERE_RUS">TEHSHEET!$F$36</definedName>
    <definedName name="TEMPLATE_SPHERE_RUS_2">TEHSHEET!$G$36</definedName>
    <definedName name="TemplateState">TEHSHEET!$E$16</definedName>
    <definedName name="ter_1">'Список территорий'!$G$13:$I$13</definedName>
    <definedName name="TER_ID">TEHSHEET!$E$62</definedName>
    <definedName name="TERMS_LINK">Договоры!$F$12:$F$22</definedName>
    <definedName name="TERMS_NAME_FORM">DATA_FORMS!$C$5</definedName>
    <definedName name="TERMS_NUM_CONTRACT_COLUMN_MARKER">Договоры!$D$8</definedName>
    <definedName name="TERMS_P_1">DATA_NPA!$M$148</definedName>
    <definedName name="TERMS_TKO_TRANS_DATA">Договоры!$E$25:$F$26</definedName>
    <definedName name="TERRITORY_CheckC">'Список территорий'!$E$11:$I$15</definedName>
    <definedName name="TERRITORY_ID">TEHSHEET!$E$56</definedName>
    <definedName name="TERRITORY_LIST_ID">'Список территорий'!$F$11:$F$15</definedName>
    <definedName name="TERRITORY_MO_LIST">'Список территорий'!$H$11:$H$15</definedName>
    <definedName name="TERRITORY_MR_LIST">'Список территорий'!$G$11:$G$15</definedName>
    <definedName name="TERRITORY_NAME_COL">'Список территорий'!$G$1:$I$1</definedName>
    <definedName name="TERRITORY_POINT_NUMBER_1">'Список территорий'!$A:$A</definedName>
    <definedName name="TITLE_BUHG_FLAG">Титульный!$F$53</definedName>
    <definedName name="TITLE_CONNECTION_FLAG">Титульный!$F$49</definedName>
    <definedName name="TITLE_DATA_TYPE">Титульный!$F$17</definedName>
    <definedName name="TITLE_DATE_BUHG">Титульный!$F$54</definedName>
    <definedName name="TITLE_DATE_CHANGE">Титульный!$F$18</definedName>
    <definedName name="TITLE_DATE_CHANGE_PERIOD">Титульный!$F$19</definedName>
    <definedName name="TITLE_DATE_FIL">Титульный!$F$13</definedName>
    <definedName name="TITLE_DATE_PARKING">Титульный!$H$5</definedName>
    <definedName name="TITLE_DATE_PR">Титульный!$F$21</definedName>
    <definedName name="TITLE_DATE_PR_CHANGE">Титульный!$F$26</definedName>
    <definedName name="TITLE_DIFFERENTIATION_TYPE">Титульный!$F$41</definedName>
    <definedName name="TITLE_FIL_YEAR">Титульный!$F$14</definedName>
    <definedName name="TITLE_FLAG_DIFF_SELLER">Титульный!$F$46</definedName>
    <definedName name="TITLE_FLAG_INTERNET">Титульный!$F$39</definedName>
    <definedName name="TITLE_FLAG_IP">Титульный!$F$58</definedName>
    <definedName name="TITLE_FLAG_IP_DETAILED">Титульный!$F$60</definedName>
    <definedName name="TITLE_FLAG_NO_DIFF_COMPONENT">Титульный!$F$47</definedName>
    <definedName name="TITLE_FLAG_NOT_REG_PRICE">Титульный!$F$51</definedName>
    <definedName name="TITLE_FLAG_OTV_ROIV">Титульный!$F$10</definedName>
    <definedName name="TITLE_FLAG_REG_PRICE_IP">Титульный!$F$59</definedName>
    <definedName name="TITLE_FLAG_TKO_TRANS">Титульный!$F$62</definedName>
    <definedName name="TITLE_FLAG_TOP80_ACTIVITY">Титульный!$F$56</definedName>
    <definedName name="TITLE_HEADER_PR_CHANGE">Титульный!$F$25</definedName>
    <definedName name="TITLE_IP_DETAILED_METHOD_LIST">TEHSHEET!$AZ$15:$AZ$17</definedName>
    <definedName name="TITLE_IST_PUB">Титульный!$F$24</definedName>
    <definedName name="TITLE_IST_PUB_CHANGE">Титульный!$F$29</definedName>
    <definedName name="TITLE_NAME_OR_PR">Титульный!$F$23</definedName>
    <definedName name="TITLE_NAME_OR_PR_CHANGE">Титульный!$F$28</definedName>
    <definedName name="TITLE_NUMBER_PR">Титульный!$F$22</definedName>
    <definedName name="TITLE_NUMBER_PR_CHANGE">Титульный!$F$27</definedName>
    <definedName name="TITLE_PERIOD_END">Титульный!$F$12</definedName>
    <definedName name="TITLE_PERIOD_START">Титульный!$F$11</definedName>
    <definedName name="TITLE_PRICE_INDICATORS_GRAPH">Титульный!$F$44</definedName>
    <definedName name="TITLE_PRICE_INDICATORS_LEVEL">Титульный!$F$43</definedName>
    <definedName name="TITLE_STRUCTURE_INFO_ROIV">Титульный!$F$9</definedName>
    <definedName name="TITLE_TYPE_ORG">Титульный!$F$36</definedName>
    <definedName name="TKO_PT_VED_ID">TEHSHEET!$CC$19:$CC$24</definedName>
    <definedName name="TKO_PT_VED_NAME">TEHSHEET!$CD$19:$CD$24</definedName>
    <definedName name="TKO_PT_VED_NAME_LIST">TEHSHEET!$CC$19:$CD$24</definedName>
    <definedName name="TP_NAME_FORM">DATA_FORMS!$C$3</definedName>
    <definedName name="TP_NUMBER_FORM">DATA_FORMS!$C$2</definedName>
    <definedName name="TP_P_A">DATA_NPA!$M$11</definedName>
    <definedName name="TP_P_B">DATA_NPA!$M$12</definedName>
    <definedName name="TP_P_G">DATA_NPA!$M$15</definedName>
    <definedName name="TP_P_NOTE_A">DATA_NPA!$N$11</definedName>
    <definedName name="TP_P_NOTE_B">DATA_NPA!$N$12</definedName>
    <definedName name="TP_P_NOTE_G">DATA_NPA!$N$15</definedName>
    <definedName name="TP_P_NOTE_G_1">DATA_NPA!$N$16</definedName>
    <definedName name="TP_P_NOTE_V">DATA_NPA!$N$13</definedName>
    <definedName name="TP_P_NOTE_V_1">DATA_NPA!$N$14</definedName>
    <definedName name="TP_P_V">DATA_NPA!$M$13</definedName>
    <definedName name="TP_P_V_1">DATA_NPA!$M$14</definedName>
    <definedName name="TYPE_TKO_LIST">TEHSHEET!$AZ$85:$AZ$87</definedName>
    <definedName name="UNIT_CONNECT_LIST">TEHSHEET!$AZ$106:$AZ$108</definedName>
    <definedName name="VDET_END_DATE">TEHSHEET!$F$32</definedName>
    <definedName name="VDET_START_DATE">TEHSHEET!$E$32</definedName>
    <definedName name="version">Инструкция!$B$3</definedName>
    <definedName name="VOTV_FIN_SRC_LIST">TEHSHEET!$BL$4:$BL$36</definedName>
    <definedName name="VOTV_FIN_SRC_VLD_LIST">TEHSHEET!$BL$39:$BL$62</definedName>
    <definedName name="VOTV_IP_EVENT_CI_STAGE_LIST">TEHSHEET!$BL$97:$BL$100</definedName>
    <definedName name="VOTV_IP_EVENT_GROUP_LIST">TEHSHEET!$BL$69:$BL$76</definedName>
    <definedName name="VOTV_IP_EVENT_SUBGROUP_1_LIST">TEHSHEET!$BL$80:$BL$83</definedName>
    <definedName name="VOTV_IP_EVENT_SUBGROUP_3_LIST">TEHSHEET!$BL$87:$BL$88</definedName>
    <definedName name="VOTV_IP_EVENT_SUBGROUP_5_LIST">TEHSHEET!$BL$92:$BL$93</definedName>
    <definedName name="VOTV_IP_EVENT_TYPE_LIST">TEHSHEET!$BL$108</definedName>
    <definedName name="VOTV_PT_VED_ID">TEHSHEET!$BZ$19:$BZ$21</definedName>
    <definedName name="VOTV_PT_VED_NAME">TEHSHEET!$CA$19:$CA$21</definedName>
    <definedName name="VOTV_PT_VED_NAME_LIST">TEHSHEET!$BZ$19:$CA$21</definedName>
    <definedName name="VOTV_TARIFF_A_VOTV_ADD_HL_COLUMN_MARKER">'ВО. Т-во'!$T$34</definedName>
    <definedName name="VOTV_TARIFF_A_VOTV_DEL_HL_DATA_DIFF_COLUMN_MARKER">'ВО. Т-во'!$R$34</definedName>
    <definedName name="VOTV_TARIFF_A_VOTV_DEL_HL_FLAG_DIFF_COLUMN_MARKER">'ВО. Т-во'!$P$34</definedName>
    <definedName name="VOTV_TARIFF_A_VOTV_DEL_HL_GC_COLUMN_MARKER">'ВО. Т-во'!$Q$34</definedName>
    <definedName name="VOTV_TARIFF_A_VOTV_DELETE_PERIOD_ROW_MARKER">'ВО. Т-во'!$O$35</definedName>
    <definedName name="VOTV_TARIFF_A_VOTV_FLAG_BLOCK_COLUMN_MARKER">'ВО. Т-во'!$L$36</definedName>
    <definedName name="VOTV_TARIFF_A_VOTV_FLAG_BLOCK_ROW_MARKER">'ВО. Т-во'!$O$20</definedName>
    <definedName name="VOTV_TARIFF_A_VOTV_NUM_CS_COLUMN_MARKER">'ВО. Т-во'!$G$36</definedName>
    <definedName name="VOTV_TARIFF_A_VOTV_NUM_DATA_DIFF_COLUMN_MARKER">'ВО. Т-во'!$K$36</definedName>
    <definedName name="VOTV_TARIFF_A_VOTV_NUM_FLAG_DIFF_COLUMN_MARKER">'ВО. Т-во'!$I$36</definedName>
    <definedName name="VOTV_TARIFF_A_VOTV_NUM_GC_COLUMN_MARKER">'ВО. Т-во'!$J$36</definedName>
    <definedName name="VOTV_TARIFF_A_VOTV_NUM_NTAR_COLUMN_MARKER">'ВО. Т-во'!$E$36</definedName>
    <definedName name="VOTV_TARIFF_A_VOTV_NUM_TER_COLUMN_MARKER">'ВО. Т-во'!$F$36</definedName>
    <definedName name="VOTV_TARIFF_B_VOTV_ADD_HL_COLUMN_MARKER">'ВО. Т-транс'!$T$34</definedName>
    <definedName name="VOTV_TARIFF_B_VOTV_DEL_HL_DATA_DIFF_COLUMN_MARKER">'ВО. Т-транс'!$R$34</definedName>
    <definedName name="VOTV_TARIFF_B_VOTV_DEL_HL_FLAG_DIFF_COLUMN_MARKER">'ВО. Т-транс'!$P$34</definedName>
    <definedName name="VOTV_TARIFF_B_VOTV_DEL_HL_GC_COLUMN_MARKER">'ВО. Т-транс'!$Q$34</definedName>
    <definedName name="VOTV_TARIFF_B_VOTV_DELETE_PERIOD_ROW_MARKER">'ВО. Т-транс'!$O$35</definedName>
    <definedName name="VOTV_TARIFF_B_VOTV_FLAG_BLOCK_COLUMN_MARKER">'ВО. Т-транс'!$L$36</definedName>
    <definedName name="VOTV_TARIFF_B_VOTV_FLAG_BLOCK_ROW_MARKER">'ВО. Т-транс'!$O$20</definedName>
    <definedName name="VOTV_TARIFF_B_VOTV_NUM_CS_COLUMN_MARKER">'ВО. Т-транс'!$G$36</definedName>
    <definedName name="VOTV_TARIFF_B_VOTV_NUM_DATA_DIFF_COLUMN_MARKER">'ВО. Т-транс'!$K$36</definedName>
    <definedName name="VOTV_TARIFF_B_VOTV_NUM_FLAG_DIFF_COLUMN_MARKER">'ВО. Т-транс'!$I$36</definedName>
    <definedName name="VOTV_TARIFF_B_VOTV_NUM_GC_COLUMN_MARKER">'ВО. Т-транс'!$J$36</definedName>
    <definedName name="VOTV_TARIFF_B_VOTV_NUM_NTAR_COLUMN_MARKER">'ВО. Т-транс'!$E$36</definedName>
    <definedName name="VOTV_TARIFF_B_VOTV_NUM_TER_COLUMN_MARKER">'ВО. Т-транс'!$F$36</definedName>
    <definedName name="VOTV_TARIFF_C_VOTV_ADD_HL_COLUMN_MARKER">'ВО. Т-подкл'!$T$38</definedName>
    <definedName name="VOTV_TARIFF_C_VOTV_ADD_HL_DIAMETERS_COLUMN_MARKER">'ВО. Т-подкл'!$AK$38</definedName>
    <definedName name="VOTV_TARIFF_C_VOTV_ADD_HL_LEN_COLUMN_MARKER">'ВО. Т-подкл'!$AO$38</definedName>
    <definedName name="VOTV_TARIFF_C_VOTV_ADD_HL_LOAD_COLUMN_MARKER">'ВО. Т-подкл'!$AG$38</definedName>
    <definedName name="VOTV_TARIFF_C_VOTV_ADD_HL_NETS_COLUMN_MARKER">'ВО. Т-подкл'!$AS$38</definedName>
    <definedName name="VOTV_TARIFF_C_VOTV_DEL_HL_DATA_DIFF_COLUMN_MARKER">'ВО. Т-подкл'!$R$38</definedName>
    <definedName name="VOTV_TARIFF_C_VOTV_DEL_HL_DIAMETERS_COLUMN_MARKER">'ВО. Т-подкл'!$AI$38</definedName>
    <definedName name="VOTV_TARIFF_C_VOTV_DEL_HL_FLAG_DIFF_COLUMN_MARKER">'ВО. Т-подкл'!$P$38</definedName>
    <definedName name="VOTV_TARIFF_C_VOTV_DEL_HL_GC_COLUMN_MARKER">'ВО. Т-подкл'!$Q$38</definedName>
    <definedName name="VOTV_TARIFF_C_VOTV_DEL_HL_LEN_COLUMN_MARKER">'ВО. Т-подкл'!$AM$38</definedName>
    <definedName name="VOTV_TARIFF_C_VOTV_DEL_HL_LOAD_COLUMN_MARKER">'ВО. Т-подкл'!$AE$38</definedName>
    <definedName name="VOTV_TARIFF_C_VOTV_DEL_HL_NETS_COLUMN_MARKER">'ВО. Т-подкл'!$AQ$38</definedName>
    <definedName name="VOTV_TARIFF_C_VOTV_DELETE_PERIOD_ROW_MARKER">'ВО. Т-подкл'!$O$39</definedName>
    <definedName name="VOTV_TARIFF_C_VOTV_FLAG_BLOCK_COLUMN_MARKER">'ВО. Т-подкл'!$L$44</definedName>
    <definedName name="VOTV_TARIFF_C_VOTV_FLAG_BLOCK_ROW_MARKER">'ВО. Т-подкл'!$O$24</definedName>
    <definedName name="VOTV_TARIFF_C_VOTV_NUM_CS_COLUMN_MARKER">'ВО. Т-подкл'!$G$44</definedName>
    <definedName name="VOTV_TARIFF_C_VOTV_NUM_DATA_DIFF_COLUMN_MARKER">'ВО. Т-подкл'!$K$44</definedName>
    <definedName name="VOTV_TARIFF_C_VOTV_NUM_DIAMETERS_COLUMN_MARKER">'ВО. Т-подкл'!$AJ$38</definedName>
    <definedName name="VOTV_TARIFF_C_VOTV_NUM_FLAG_DIFF_COLUMN_MARKER">'ВО. Т-подкл'!$I$44</definedName>
    <definedName name="VOTV_TARIFF_C_VOTV_NUM_GC_COLUMN_MARKER">'ВО. Т-подкл'!$J$44</definedName>
    <definedName name="VOTV_TARIFF_C_VOTV_NUM_LEN_COLUMN_MARKER">'ВО. Т-подкл'!$AN$38</definedName>
    <definedName name="VOTV_TARIFF_C_VOTV_NUM_LOAD_COLUMN_MARKER">'ВО. Т-подкл'!$AF$38</definedName>
    <definedName name="VOTV_TARIFF_C_VOTV_NUM_NETS_COLUMN_MARKER">'ВО. Т-подкл'!$AR$38</definedName>
    <definedName name="VOTV_TARIFF_C_VOTV_NUM_NTAR_COLUMN_MARKER">'ВО. Т-подкл'!$E$44</definedName>
    <definedName name="VOTV_TARIFF_C_VOTV_NUM_TER_COLUMN_MARKER">'ВО. Т-подкл'!$F$44</definedName>
    <definedName name="VSNA_FIN_SRC_LIST">TEHSHEET!$BJ$4:$BJ$34</definedName>
    <definedName name="VSNA_FIN_SRC_VLD_LIST">TEHSHEET!$BJ$39:$BJ$60</definedName>
    <definedName name="VSNA_IP_EVENT_CI_STAGE_LIST">TEHSHEET!$BJ$97:$BJ$100</definedName>
    <definedName name="VSNA_IP_EVENT_GROUP_LIST">TEHSHEET!$BJ$69:$BJ$76</definedName>
    <definedName name="VSNA_IP_EVENT_SUBGROUP_1_LIST">TEHSHEET!$BJ$80:$BJ$83</definedName>
    <definedName name="VSNA_IP_EVENT_SUBGROUP_3_LIST">TEHSHEET!$BJ$87:$BJ$88</definedName>
    <definedName name="VSNA_IP_EVENT_SUBGROUP_5_LIST">TEHSHEET!$BJ$92:$BJ$93</definedName>
    <definedName name="VSNA_IP_EVENT_TYPE_LIST">TEHSHEET!$BJ$108</definedName>
    <definedName name="VTAR_ID">TEHSHEET!$E$59</definedName>
    <definedName name="Y_N_DIFFERENTIATION_AREA">Дифференциация!$F$12:$F$19</definedName>
    <definedName name="Y_N_DIFFERENTIATION_SYSTEM">Дифференциация!$J$12:$J$19</definedName>
    <definedName name="YEAR_IP_LIST">TEHSHEET!$BE$2:$BE$72</definedName>
    <definedName name="year_list">TEHSHEET!$C$2:$C$6</definedName>
    <definedName name="year_list1">TEHSHEET!$B$2:$B$27</definedName>
    <definedName name="REESTR_IP_RANGE">REESTR_IP!$A$2:$I$19</definedName>
    <definedName name="VD_LIST">REESTR_VED!$A$2:$B$11</definedName>
    <definedName name="VD_ID_LIST">REESTR_VED!$A$2:$A$11</definedName>
    <definedName name="VD_NAME_LIST">REESTR_VED!$B$2:$B$11</definedName>
    <definedName name="et_B_FHD20_1">et_union_hor!$127:$135</definedName>
    <definedName name="Q_PH_diff_5">'Потребительские характеристики'!$K$9:$L$11</definedName>
    <definedName name="Q_TP_diff_5">ТП!$I$9:$I$11</definedName>
    <definedName name="Q_Limit_diff_5">Ограничения!$K$26:$L$28</definedName>
    <definedName name="B_FHD_diff_5">'Показатели ФХД'!$J$25:$J$27</definedName>
    <definedName name="B_OTEP_diff_5">'Показатели ОТЭП'!$N$10:$N$12</definedName>
    <definedName name="B_FHD20_diff_5">'Показатели ФХД &gt;20%'!$H$23:$R$25</definedName>
    <definedName name="B_KNE_diff_5">'Показатели КНЭ'!$K$7:$L$9</definedName>
    <definedName name="B_FHD_TKO_diff_5">'ТКО. Показатели ФХД'!$J$10:$J$12</definedName>
    <definedName name="B_FHD_TKO_TRANS_diff_5">'ТКО. Транс. Показатели ФХД'!$J$10:$J$12</definedName>
    <definedName name="_xlnm._FilterDatabase" localSheetId="59">Проверка!$B$4:$E$5</definedName>
  </definedNames>
  <calcPr calcId="0" iterate="1" iterateCount="100" iterateDelta="0.001"/>
</workbook>
</file>

<file path=xl/comments1.xml><?xml version="1.0" encoding="utf-8"?>
<comments xmlns="http://schemas.openxmlformats.org/spreadsheetml/2006/main">
  <authors>
    <author>Author</author>
  </authors>
  <commentList>
    <comment ref="E37" authorId="0">
      <text>
        <r>
          <rPr>
            <sz val="9"/>
            <color indexed="81"/>
            <rFont val="Arial"/>
            <family val="2"/>
          </rPr>
          <t>ОСН - Общая система налогообложения
УСН - Упрощённая система налогообложения
ЕСХН - Единый сельскохозяйственный налог
ПСН - Патентная система налогообложения
НПД - Налог на профессиональный доход</t>
        </r>
      </text>
    </comment>
  </commentList>
</comments>
</file>

<file path=xl/comments2.xml><?xml version="1.0" encoding="utf-8"?>
<comments xmlns="http://schemas.openxmlformats.org/spreadsheetml/2006/main">
  <authors>
    <author>Author</author>
  </authors>
  <commentList>
    <comment ref="AZ1" authorId="0">
      <text>
        <r>
          <rPr>
            <sz val="9"/>
            <color indexed="81"/>
            <rFont val="Tahoma"/>
            <family val="2"/>
          </rPr>
          <t>Тип организации</t>
        </r>
      </text>
    </comment>
    <comment ref="L6" authorId="0">
      <text>
        <r>
          <rPr>
            <sz val="9"/>
            <color indexed="81"/>
            <rFont val="Tahoma"/>
            <family val="2"/>
          </rPr>
          <t>тут будет больше 0, если выбран хотя бы один метод, отличный от экономически обоснованных</t>
        </r>
      </text>
    </comment>
  </commentList>
</comments>
</file>

<file path=xl/comments3.xml><?xml version="1.0" encoding="utf-8"?>
<comments xmlns="http://schemas.openxmlformats.org/spreadsheetml/2006/main">
  <authors>
    <author>Author</author>
  </authors>
  <commentList>
    <comment ref="P2" authorId="0">
      <text>
        <r>
          <rPr>
            <sz val="9"/>
            <color indexed="81"/>
            <rFont val="Arial"/>
            <family val="2"/>
          </rPr>
          <t>сюда же для некоторых формул может входить:
- VOTV
- HOTVSNA</t>
        </r>
      </text>
    </comment>
    <comment ref="U2" authorId="0">
      <text>
        <r>
          <rPr>
            <sz val="9"/>
            <color indexed="81"/>
            <rFont val="Arial"/>
            <family val="2"/>
          </rPr>
          <t>сюда же для некоторых формул может входить:
- VOTV
- HOTVSNA</t>
        </r>
      </text>
    </comment>
  </commentList>
</comments>
</file>

<file path=xl/sharedStrings.xml><?xml version="1.0" encoding="utf-8"?>
<sst xmlns="http://schemas.openxmlformats.org/spreadsheetml/2006/main" count="15782" uniqueCount="3783">
  <si>
    <t xml:space="preserve"> (требуется обновление)</t>
  </si>
  <si>
    <t>Код отчёта: PP110.OPEN.INFO.QUARTER.HEAT.EIAS</t>
  </si>
  <si>
    <t>Версия отчёта: 1.1.1</t>
  </si>
  <si>
    <t>Условные обозначения</t>
  </si>
  <si>
    <t>A</t>
  </si>
  <si>
    <t xml:space="preserve"> - предназначенные для заполнения</t>
  </si>
  <si>
    <t xml:space="preserve"> - ссылки и автозаполняемые поля</t>
  </si>
  <si>
    <t xml:space="preserve"> - с формулами и константами</t>
  </si>
  <si>
    <t xml:space="preserve"> - обязательные для заполнения</t>
  </si>
  <si>
    <t>Работа с реестрами</t>
  </si>
  <si>
    <t>Если в предложенном Вам списке необходимая организация, территория или объект отсутствуют, обновите списки с помощью элементов управления на листах. Если после обновления Вам не удалось найти необходимую позицию в списке, обратитесь к ответственному за поддержание реестра Вашего региона либо в Отдел сопровождения пользователей ЕИАС.</t>
  </si>
  <si>
    <t>Проверка отчёта</t>
  </si>
  <si>
    <t>• При сохранении отчётной формы осуществляется проверка корректности данных_x000D_
• Для каждого сообщения возможны 2 статуса: ошибка и предупреждение_x000D_
• При наличии сообщений со статусом «Ошибка» файл будет отклонён системой и не будет загружен в хранилище данных, сообщения со статусом «Предупреждение» носят информационный характер, и такой файл будет принят к обработке системой</t>
  </si>
  <si>
    <t>26359320</t>
  </si>
  <si>
    <t>Flag_Row_Size</t>
  </si>
  <si>
    <t>Субъект РФ</t>
  </si>
  <si>
    <t>Вологодская область</t>
  </si>
  <si>
    <t>Состав раскрываемой информации</t>
  </si>
  <si>
    <t>Привлечение к ответственности за указанный период отсутствует</t>
  </si>
  <si>
    <t>нет</t>
  </si>
  <si>
    <t>PRICE, REQUEST</t>
  </si>
  <si>
    <t>Начало_x000D_
периода регулирования</t>
  </si>
  <si>
    <t/>
  </si>
  <si>
    <t>Как заполнить?</t>
  </si>
  <si>
    <t>Начало периода регулирования</t>
  </si>
  <si>
    <t>Окончание_x000D_
периода регулирования</t>
  </si>
  <si>
    <t>Окончание периода регулирования</t>
  </si>
  <si>
    <t>ORG</t>
  </si>
  <si>
    <t>Дата_x000D_
предоставления информации</t>
  </si>
  <si>
    <t>Дата предоставления информации</t>
  </si>
  <si>
    <t>BALANCE, QUARTER, TERMS</t>
  </si>
  <si>
    <t>Год</t>
  </si>
  <si>
    <t>Отчётный период (год)</t>
  </si>
  <si>
    <t>QUARTER</t>
  </si>
  <si>
    <t>Квартал</t>
  </si>
  <si>
    <t>II квартал</t>
  </si>
  <si>
    <t>Отчётный период (квартал)</t>
  </si>
  <si>
    <t>Тип отчёта</t>
  </si>
  <si>
    <t>первичное раскрытие информации</t>
  </si>
  <si>
    <t>Дата внесения изменений в информацию, подлежащую раскрытию</t>
  </si>
  <si>
    <t>Отображается, если тип отчёта - изменение</t>
  </si>
  <si>
    <t>Данный блок предлагается заполнять из отчётной формы BALANCE.CALC.TARIFF.ххх.хххх</t>
  </si>
  <si>
    <t>Наименование органа регулирования, принявшего решение об утверждении тарифов</t>
  </si>
  <si>
    <t>Источник официального опубликования решения</t>
  </si>
  <si>
    <t>Открывается, если Тип отчёта "изменения в раскрытой ранее информации"</t>
  </si>
  <si>
    <t>Наименование органа регулирования, принявшего решение об изменении тарифов</t>
  </si>
  <si>
    <t>ПАО "ОГК-2"</t>
  </si>
  <si>
    <t>Наименование (описание) обособленного подразделения</t>
  </si>
  <si>
    <t>ИНН</t>
  </si>
  <si>
    <t>2607018122</t>
  </si>
  <si>
    <t>КПП</t>
  </si>
  <si>
    <t>351043001</t>
  </si>
  <si>
    <t>Тип теплоснабжающей организации</t>
  </si>
  <si>
    <t>Регулируемая организация</t>
  </si>
  <si>
    <t>Система налогообложения</t>
  </si>
  <si>
    <t>ОСН</t>
  </si>
  <si>
    <t>Отсутствует Интернет в границах территории МО, где организация осуществляет регулируемые виды деятельности</t>
  </si>
  <si>
    <t>Опубликовать индикативный предельный уровень цен на тепловую энергию (мощность)</t>
  </si>
  <si>
    <t>График поэтапного равномерного доведения предельного уровня цены на тепловую энергию (мощность)</t>
  </si>
  <si>
    <r>
      <t xml:space="preserve">Тариф на горячую воду предлагается </t>
    </r>
    <r>
      <rPr>
        <b/>
        <charset val="204"/>
        <family val="2"/>
        <rFont val="Tahoma"/>
        <sz val="9"/>
      </rPr>
      <t>с (!)</t>
    </r>
    <r>
      <rPr>
        <charset val="204"/>
        <family val="2"/>
        <rFont val="Tahoma"/>
        <sz val="9"/>
      </rPr>
      <t xml:space="preserve"> разбивкой по поставщикам</t>
    </r>
  </si>
  <si>
    <r>
      <t xml:space="preserve">Тариф на горячую воду предлагается </t>
    </r>
    <r>
      <rPr>
        <b/>
        <charset val="204"/>
        <family val="2"/>
        <rFont val="Tahoma"/>
        <sz val="9"/>
      </rPr>
      <t>без (!)</t>
    </r>
    <r>
      <rPr>
        <charset val="204"/>
        <family val="2"/>
        <rFont val="Tahoma"/>
        <sz val="9"/>
      </rPr>
      <t xml:space="preserve"> разбивки на компоненты</t>
    </r>
  </si>
  <si>
    <t>Организация осуществляет поставку товаров (оказание услуг) только по нерегулируемым ценам</t>
  </si>
  <si>
    <t>Регулируемая организация осуществляет сдачу годового бухгалтерского баланса в налоговые органы</t>
  </si>
  <si>
    <t>Дата направления годового бухгалтерского баланса в налоговые органы</t>
  </si>
  <si>
    <t>Превышает ли выручка от регулируемой деятельности 80% совокупной выручки за отчетный год</t>
  </si>
  <si>
    <t>Организация выполняет инвестиционную программу</t>
  </si>
  <si>
    <t>да</t>
  </si>
  <si>
    <t>Детализация инвестиционных программ осуществляется</t>
  </si>
  <si>
    <t>Оператор по обращению с твёрдыми коммунальными отходами, осуществляет деятельность по транспортированию твёрдых коммунальных отходов</t>
  </si>
  <si>
    <t>Почтовый адрес регулируемой организации</t>
  </si>
  <si>
    <t>162510, РФ, Вологодская обл., рп Кадуй, ул. Промышленная, д.2</t>
  </si>
  <si>
    <t>Фамилия, имя, отчество руководителя</t>
  </si>
  <si>
    <t>Смирнов Алексей Иванович</t>
  </si>
  <si>
    <t>Ответственный за заполнение формы</t>
  </si>
  <si>
    <t>Фамилия, имя, отчество</t>
  </si>
  <si>
    <t>Первушина Любовь Леонидовна</t>
  </si>
  <si>
    <t>Должность</t>
  </si>
  <si>
    <t>начальник финансово-экономического управления</t>
  </si>
  <si>
    <t>Контактный телефон</t>
  </si>
  <si>
    <t>(81742) 48-355</t>
  </si>
  <si>
    <t>E-mail</t>
  </si>
  <si>
    <t>Pervushina.Lyubov@chr.ogk2.ru</t>
  </si>
  <si>
    <t>Flag_Col_Size</t>
  </si>
  <si>
    <t>МР</t>
  </si>
  <si>
    <t>МО</t>
  </si>
  <si>
    <t>ОКТМО</t>
  </si>
  <si>
    <t>Муниципальный район</t>
  </si>
  <si>
    <t>Муниципальное образование</t>
  </si>
  <si>
    <t>№ п/п</t>
  </si>
  <si>
    <t>Наименование</t>
  </si>
  <si>
    <t>3</t>
  </si>
  <si>
    <t>4</t>
  </si>
  <si>
    <t>6</t>
  </si>
  <si>
    <t>7</t>
  </si>
  <si>
    <t>размерженный МР</t>
  </si>
  <si>
    <t>флаг используемости территории на листе Перечень тарифов</t>
  </si>
  <si>
    <t>копия территорий</t>
  </si>
  <si>
    <t>МР (ОКТМО)</t>
  </si>
  <si>
    <t>ter_1</t>
  </si>
  <si>
    <t>25</t>
  </si>
  <si>
    <t>Кадуйский муниципальный округ</t>
  </si>
  <si>
    <t>19526000</t>
  </si>
  <si>
    <t>Добавить МО</t>
  </si>
  <si>
    <t>Добавить территорию оказания услуг</t>
  </si>
  <si>
    <t>Добавить территорию действия тарифа</t>
  </si>
  <si>
    <t>Вид деятельности</t>
  </si>
  <si>
    <t>Дифференциация по территориям</t>
  </si>
  <si>
    <t>Дифференциация по централизованным системам</t>
  </si>
  <si>
    <t>да/нет</t>
  </si>
  <si>
    <t>1</t>
  </si>
  <si>
    <t>2</t>
  </si>
  <si>
    <t>5</t>
  </si>
  <si>
    <t>8</t>
  </si>
  <si>
    <t>ID_DIFF</t>
  </si>
  <si>
    <t>VD</t>
  </si>
  <si>
    <t>AREA</t>
  </si>
  <si>
    <t>SYSTEM</t>
  </si>
  <si>
    <t>diff_1</t>
  </si>
  <si>
    <t>4190064</t>
  </si>
  <si>
    <t>a</t>
  </si>
  <si>
    <t>Добавить централизованную систему</t>
  </si>
  <si>
    <t>Добавить описание территории</t>
  </si>
  <si>
    <t>×</t>
  </si>
  <si>
    <t>diff_5</t>
  </si>
  <si>
    <t>4190067</t>
  </si>
  <si>
    <t>Добавить вид деятельности</t>
  </si>
  <si>
    <t>Вид тарифа</t>
  </si>
  <si>
    <t>Наименование тарифа</t>
  </si>
  <si>
    <t>Дифференциация по_x000D_
 МО (территориям)</t>
  </si>
  <si>
    <t>Дифференциация по _x000D_
централизованным системам</t>
  </si>
  <si>
    <t>Дифференциация по источникам тепловой энергии</t>
  </si>
  <si>
    <t>Примечание</t>
  </si>
  <si>
    <t>Установлен для организации</t>
  </si>
  <si>
    <t>Описание</t>
  </si>
  <si>
    <t>TER_ID</t>
  </si>
  <si>
    <t>VTAR_ID</t>
  </si>
  <si>
    <t>VD_ID</t>
  </si>
  <si>
    <t>ID_VTAR</t>
  </si>
  <si>
    <t>ID_NTAR</t>
  </si>
  <si>
    <t>ID_TER</t>
  </si>
  <si>
    <t>ID_CS</t>
  </si>
  <si>
    <t>ID_IST_TE</t>
  </si>
  <si>
    <t>ВидТарифа</t>
  </si>
  <si>
    <t>ВидДеятельности</t>
  </si>
  <si>
    <t>НаименованиеТарифа</t>
  </si>
  <si>
    <t>Территория</t>
  </si>
  <si>
    <t>ЦентрализованнаяСистема</t>
  </si>
  <si>
    <t>ИсточникТепловойЭнергии</t>
  </si>
  <si>
    <t>№ п.п НаименованиеТарифа</t>
  </si>
  <si>
    <t>№ п.п Территория</t>
  </si>
  <si>
    <t>№ п.п ЦентрализованнаяСистема</t>
  </si>
  <si>
    <t>№ п.п ИсточникТепловойЭнергии</t>
  </si>
  <si>
    <t>9</t>
  </si>
  <si>
    <t>10</t>
  </si>
  <si>
    <t>11</t>
  </si>
  <si>
    <t>12</t>
  </si>
  <si>
    <t>13</t>
  </si>
  <si>
    <t>14</t>
  </si>
  <si>
    <t>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t>
  </si>
  <si>
    <t>pIns_PT_VTAR_A</t>
  </si>
  <si>
    <t>pt_ntar_1</t>
  </si>
  <si>
    <t>pt_ter_1</t>
  </si>
  <si>
    <t>pt_cs_1</t>
  </si>
  <si>
    <t>pt_ist_te_1</t>
  </si>
  <si>
    <t>pIns_PT_VTAR_B</t>
  </si>
  <si>
    <t>pt_ntar_2</t>
  </si>
  <si>
    <t>pt_ter_2</t>
  </si>
  <si>
    <t>pt_cs_2</t>
  </si>
  <si>
    <t>pt_ist_te_2</t>
  </si>
  <si>
    <t>Тарифы на тепловую энергию (мощность), поставляемую теплоснабжающими организациями потребителям, другим теплоснабжающим организациям</t>
  </si>
  <si>
    <t>Тарифы на теплоноситель, поставляемый теплоснабжающими организациями потребителям, другим теплоснабжающим организациям</t>
  </si>
  <si>
    <t>pIns_PT_VTAR_C</t>
  </si>
  <si>
    <t>pt_ntar_3</t>
  </si>
  <si>
    <t>pt_ter_3</t>
  </si>
  <si>
    <t>pt_cs_3</t>
  </si>
  <si>
    <t>pt_ist_te_3</t>
  </si>
  <si>
    <t>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t>
  </si>
  <si>
    <t>pIns_PT_VTAR_D</t>
  </si>
  <si>
    <t>pt_ntar_4</t>
  </si>
  <si>
    <t>pt_ter_4</t>
  </si>
  <si>
    <t>pt_cs_4</t>
  </si>
  <si>
    <t>pt_ist_te_4</t>
  </si>
  <si>
    <t>Тарифы на услуги по передаче тепловой энергии</t>
  </si>
  <si>
    <t>pIns_PT_VTAR_E1</t>
  </si>
  <si>
    <t>pt_ntar_5</t>
  </si>
  <si>
    <t>pt_ter_5</t>
  </si>
  <si>
    <t>pt_cs_5</t>
  </si>
  <si>
    <t>pt_ist_te_5</t>
  </si>
  <si>
    <t>Тарифы на услуги по передаче теплоносителя</t>
  </si>
  <si>
    <t>pIns_PT_VTAR_E2</t>
  </si>
  <si>
    <t>pt_ntar_6</t>
  </si>
  <si>
    <t>pt_ter_6</t>
  </si>
  <si>
    <t>pt_cs_6</t>
  </si>
  <si>
    <t>pt_ist_te_6</t>
  </si>
  <si>
    <t>Плата за услуги по поддержанию резервной тепловой мощности при отсутствии потребления тепловой энергии</t>
  </si>
  <si>
    <t>pIns_PT_VTAR_F</t>
  </si>
  <si>
    <t>pt_ntar_7</t>
  </si>
  <si>
    <t>pt_ter_7</t>
  </si>
  <si>
    <t>pt_cs_7</t>
  </si>
  <si>
    <t>pt_ist_te_7</t>
  </si>
  <si>
    <t>Плата за подключение (технологическое присоединение) к системе теплоснабжения</t>
  </si>
  <si>
    <t>pIns_PT_VTAR_G</t>
  </si>
  <si>
    <t>pt_ntar_8</t>
  </si>
  <si>
    <t>pt_ter_8</t>
  </si>
  <si>
    <t>pt_cs_8</t>
  </si>
  <si>
    <t>pt_ist_te_8</t>
  </si>
  <si>
    <t>Плата за подключение (технологическое присоединение) к системе теплоснабжения (индивидуальная)</t>
  </si>
  <si>
    <t>pIns_PT_VTAR_H</t>
  </si>
  <si>
    <t>pt_ntar_20</t>
  </si>
  <si>
    <t>pt_ter_20</t>
  </si>
  <si>
    <t>pt_cs_20</t>
  </si>
  <si>
    <t>pt_ist_te_20</t>
  </si>
  <si>
    <t>Предельный уровень цены на тепловую энергию (мощность), поставляемую теплоснабжающими организациями потребителям</t>
  </si>
  <si>
    <t>pIns_PT_VTAR_I</t>
  </si>
  <si>
    <t>pt_ntar_21</t>
  </si>
  <si>
    <t>pt_ter_21</t>
  </si>
  <si>
    <t>pt_cs_21</t>
  </si>
  <si>
    <t>pt_ist_te_21</t>
  </si>
  <si>
    <t>Информация о регулируемых ценах (тарифах) на товары (услуги) единой теплоснабжающей организации в ценовых зонах теплоснабжения включает сведения:</t>
  </si>
  <si>
    <t>- о предельном уровне цены на тепловую энергию (мощность), поставляемую потребителям, об индикативном предельном уровне цены на тепловую энергию (мощность) и о графике поэтапного равномерного доведения предельного уровня цены на тепловую энергию (мощность) (при наличии), определяемых в соответствии с Правилами определения в ценовых зонах теплоснабжения предельного уровня цены на тепловую энергию (мощность), включая правила индексации предельного уровня цены на тепловую энергию (мощность), утвержденными ПП РФ от 15 декабря 2017 г. № 1562 "Об определении в ценовых зонах теплоснабжения предельного уровня цены на тепловую энергию (мощность), включая индексацию предельного уровня цены на тепловую энергию (мощность), и технико-экономических параметров работы котельных и тепловых сетей, используемых для расчета предельного уровня цены на тепловую энергию (мощность)";</t>
  </si>
  <si>
    <t>-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23.4 ФЗ "О теплоснабжении";</t>
  </si>
  <si>
    <t>- о тарифах на горячую воду, поставляемую единой теплоснабжающей организацией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t>
  </si>
  <si>
    <t>- о плате за подключение (технологическое присоединение) к системе теплоснабжения, применяемой в случае, установленном частью 9 статьи 23.4 ФЗ "О теплоснабжении".</t>
  </si>
  <si>
    <t>Информация о регулируемых ценах (тарифах) на товары (услуги) теплоснабжающей организации и теплосетевой организации в ценовых зонах теплоснабжения включает сведения:</t>
  </si>
  <si>
    <t>- о тарифах на теплоноситель в виде воды, поставляемый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23.4 ФЗ "О теплоснабжении";</t>
  </si>
  <si>
    <t>- о тарифах на товары (услуги) в сфере теплоснабжения в случаях, указанных в частях 12.1 - 12.4 статьи 10 ФЗ "О теплоснабжении"</t>
  </si>
  <si>
    <t>Тариф на питьевую воду (питьевое водоснабжение)</t>
  </si>
  <si>
    <t>pIns_PT_VTAR_A_COLDVSNA</t>
  </si>
  <si>
    <t>pt_ntar_9</t>
  </si>
  <si>
    <t>pt_ter_9</t>
  </si>
  <si>
    <t>pt_cs_9</t>
  </si>
  <si>
    <t>Тариф на техническую воду</t>
  </si>
  <si>
    <t>pIns_PT_VTAR_B_COLDVSNA</t>
  </si>
  <si>
    <t>pt_ntar_10</t>
  </si>
  <si>
    <t>pt_ter_10</t>
  </si>
  <si>
    <t>pt_cs_10</t>
  </si>
  <si>
    <t>Тариф на транспортировку воды</t>
  </si>
  <si>
    <t>pIns_PT_VTAR_C_COLDVSNA</t>
  </si>
  <si>
    <t>pt_ntar_11</t>
  </si>
  <si>
    <t>pt_ter_11</t>
  </si>
  <si>
    <t>pt_cs_11</t>
  </si>
  <si>
    <t>Тариф на подвоз воды</t>
  </si>
  <si>
    <t>pIns_PT_VTAR_D_COLDVSNA</t>
  </si>
  <si>
    <t>pt_ntar_12</t>
  </si>
  <si>
    <t>pt_ter_12</t>
  </si>
  <si>
    <t>pt_cs_12</t>
  </si>
  <si>
    <t>Тариф на подключение (технологическое присоединение) к централизованной системе холодного водоснабжения</t>
  </si>
  <si>
    <t>pIns_PT_VTAR_E_COLDVSNA</t>
  </si>
  <si>
    <t>pt_ntar_13</t>
  </si>
  <si>
    <t>pt_ter_13</t>
  </si>
  <si>
    <t>pt_cs_13</t>
  </si>
  <si>
    <t>Тариф на горячую воду (горячее водоснабжение)</t>
  </si>
  <si>
    <t>pIns_PT_VTAR_A_HOTVSNA</t>
  </si>
  <si>
    <t>pt_ntar_14</t>
  </si>
  <si>
    <t>pt_ter_14</t>
  </si>
  <si>
    <t>pt_cs_14</t>
  </si>
  <si>
    <t>Тариф на транспортировку горячей воды</t>
  </si>
  <si>
    <t>pIns_PT_VTAR_B_HOTVSNA</t>
  </si>
  <si>
    <t>pt_ntar_15</t>
  </si>
  <si>
    <t>pt_ter_15</t>
  </si>
  <si>
    <t>pt_cs_15</t>
  </si>
  <si>
    <t>Тариф на подключение (технологическое присоединение) к централизованной системе горячего водоснабжения</t>
  </si>
  <si>
    <t>pIns_PT_VTAR_C_HOTVSNA</t>
  </si>
  <si>
    <t>pt_ntar_16</t>
  </si>
  <si>
    <t>pt_ter_16</t>
  </si>
  <si>
    <t>pt_cs_16</t>
  </si>
  <si>
    <t>Тариф на водоотведение</t>
  </si>
  <si>
    <t>pIns_PT_VTAR_A_VOTV</t>
  </si>
  <si>
    <t>pt_ntar_17</t>
  </si>
  <si>
    <t>pt_ter_17</t>
  </si>
  <si>
    <t>pt_cs_17</t>
  </si>
  <si>
    <t>Тариф на транспортировку сточных вод</t>
  </si>
  <si>
    <t>pIns_PT_VTAR_B_VOTV</t>
  </si>
  <si>
    <t>pt_ntar_18</t>
  </si>
  <si>
    <t>pt_ter_18</t>
  </si>
  <si>
    <t>pt_cs_18</t>
  </si>
  <si>
    <t>Тариф на подключение (технологическое присоединение) к централизованной системе водоотведения</t>
  </si>
  <si>
    <t>pIns_PT_VTAR_C_VOTV</t>
  </si>
  <si>
    <t>pt_ntar_19</t>
  </si>
  <si>
    <t>pt_ter_19</t>
  </si>
  <si>
    <t>pt_cs_19</t>
  </si>
  <si>
    <t>fdif</t>
  </si>
  <si>
    <t>fdif_e</t>
  </si>
  <si>
    <t>fdif_1</t>
  </si>
  <si>
    <t>Дифференциация тарифов в области обращения с твердыми коммунальными отходами</t>
  </si>
  <si>
    <t>Дифференциация по технологическим особенностям</t>
  </si>
  <si>
    <t>Дифференциация по территории оказания услуг</t>
  </si>
  <si>
    <t>Дифференциация по виду твердых коммунальных отходов</t>
  </si>
  <si>
    <t>Дифференциация по классу опасности твердых коммунальных отходов</t>
  </si>
  <si>
    <t>Комментарий</t>
  </si>
  <si>
    <t>Дифференциация, да/нет</t>
  </si>
  <si>
    <t>Значение</t>
  </si>
  <si>
    <t>Тарифы</t>
  </si>
  <si>
    <t>Прочие показатели</t>
  </si>
  <si>
    <t>AREA_ID</t>
  </si>
  <si>
    <t>Оказание услуги по обращению с твердыми коммунальными отходами региональным оператором</t>
  </si>
  <si>
    <t>Единый тариф на услугу регионального оператора по обращению с твердыми коммунальными отходами</t>
  </si>
  <si>
    <t>Тариф на обработку твердых коммунальных отходов</t>
  </si>
  <si>
    <t>Тариф на обезвреживание твердых коммунальных отходов</t>
  </si>
  <si>
    <t>Тариф на захоронение твердых коммунальных отходов</t>
  </si>
  <si>
    <t>Тариф на энергетическую утилизацию</t>
  </si>
  <si>
    <t>Фирменное наименование юридического лица (согласно уставу регулируемой организации)</t>
  </si>
  <si>
    <t>Параметры формы</t>
  </si>
  <si>
    <t>Описание параметров формы</t>
  </si>
  <si>
    <t>Наименование параметра</t>
  </si>
  <si>
    <t>Информация</t>
  </si>
  <si>
    <t>Субъект Российской Федерации</t>
  </si>
  <si>
    <t>Указывается наименование субъекта Российской Федерации</t>
  </si>
  <si>
    <t>x</t>
  </si>
  <si>
    <t>2.2</t>
  </si>
  <si>
    <t>идентификационный номер налогоплательщика (ИНН)</t>
  </si>
  <si>
    <t>Указывается идентификационный номер налогоплательщика.</t>
  </si>
  <si>
    <t>2.3</t>
  </si>
  <si>
    <t>код причины постановки на учет (КПП)</t>
  </si>
  <si>
    <t>Указывается код причины постановки на учет (при наличии).</t>
  </si>
  <si>
    <t>5.1</t>
  </si>
  <si>
    <t>Сведения о присвоении статуса единой теплоснабжающей организации:</t>
  </si>
  <si>
    <t>Информация в строках 5.x.1 - 5.x.4 указывается только едиными теплоснабжающими организациями.</t>
  </si>
  <si>
    <t>наименование органа, принявшего решение о присвоении статуса единой теплоснабжающей организации</t>
  </si>
  <si>
    <t>дата решения</t>
  </si>
  <si>
    <t>Дата принятия решения о присвоении статуса единой теплоснабжающей организации указывается в виде «ДД.ММ.ГГГГ».</t>
  </si>
  <si>
    <t>номер решения</t>
  </si>
  <si>
    <t>границы зоны (зон) деятельности</t>
  </si>
  <si>
    <t>Указывается описание зоны (зон) деятельности единой теплоснабжающей организации.</t>
  </si>
  <si>
    <t>Добавить сведения</t>
  </si>
  <si>
    <t>Данные должностного лица, ответственного за размещение данных</t>
  </si>
  <si>
    <t>3.1</t>
  </si>
  <si>
    <t>фамилия, имя и отчество должностного лица</t>
  </si>
  <si>
    <t>3.1.1</t>
  </si>
  <si>
    <t>фамилия должностного лица</t>
  </si>
  <si>
    <t>3.1.2</t>
  </si>
  <si>
    <t>имя должностного лица</t>
  </si>
  <si>
    <t>3.1.3</t>
  </si>
  <si>
    <t>отчество должностного лица</t>
  </si>
  <si>
    <t>3.2</t>
  </si>
  <si>
    <t>должность</t>
  </si>
  <si>
    <t>3.3</t>
  </si>
  <si>
    <t>контактный телефон</t>
  </si>
  <si>
    <t>3.4</t>
  </si>
  <si>
    <t>адрес электронной почты</t>
  </si>
  <si>
    <t>Указывается наименование субъекта Российской Федерации, муниципального района, города, иного населенного пункта, улицы, номер дома, при необходимости указывается корпус, строение, литера или дополнительная территория._x000D_
Данные указываются согласно наименованиям адресных объектов в ФГИС ЕИАС.</t>
  </si>
  <si>
    <t>Добавить контактный телефон</t>
  </si>
  <si>
    <t>Указывается при наличии</t>
  </si>
  <si>
    <t>Режим работы</t>
  </si>
  <si>
    <t>Указывается режим работы регулируемой организации. В случае наличия нескольких режимов работы регулируемой организации, информация по каждому из них указывается в отдельной строке.</t>
  </si>
  <si>
    <t>режим работы абонентских отделов</t>
  </si>
  <si>
    <t>Указывается режим работы абонентских отделов регулируемой организации. В случае наличия нескольких абонентских отделов и (или) режимов работы абонентских отделов, информация по каждому из них указывается в отдельной строке.</t>
  </si>
  <si>
    <t>режим работы сбытовых подразделений</t>
  </si>
  <si>
    <t>Указывается режим работы сбытовых подразделений регулируемой организации. В случае наличия нескольких сбытовых подразделений и (или) режимов работы сбытовых подразделений, информация по каждому из них указывается в отдельной строке.</t>
  </si>
  <si>
    <t>режим работы диспетчерских служб</t>
  </si>
  <si>
    <t>Указывается режим работы диспетчерских служб регулируемой организации. В случае наличия нескольких диспетчерских служб и (или) режимов работы диспетчерских служб, информация по каждому из них указывается в отдельной строке.</t>
  </si>
  <si>
    <t>Добавить режим работы</t>
  </si>
  <si>
    <t>В случае наличия дополнительных режимов работы регулируемой организации (подразделений регулируемой организации) информация по каждому из них указывается в отдельной строке.</t>
  </si>
  <si>
    <t>Наличие или отсутствие утвержденной в установленном порядке инвестиционной программы</t>
  </si>
  <si>
    <t>BLOCK_MAIN_INFO_OBJECT_HEAT</t>
  </si>
  <si>
    <t>BLOCK_MAIN_INFO_OBJECT_VOTV</t>
  </si>
  <si>
    <t>BLOCK_MAIN_INFO_OBJECT_COLDVSNA</t>
  </si>
  <si>
    <t>BLOCK_MAIN_INFO_OBJECT_HOTVSNA</t>
  </si>
  <si>
    <t>D:T</t>
  </si>
  <si>
    <t>Протяженность магистральных сетей (в однотрубном исчислении), км.</t>
  </si>
  <si>
    <t>Протяженность разводящих сетей (в однотрубном исчислении), км.</t>
  </si>
  <si>
    <t>Теплоэлектростанции</t>
  </si>
  <si>
    <t>Тепловые станции</t>
  </si>
  <si>
    <t>Котельные</t>
  </si>
  <si>
    <t>Количество центральных тепловых пунктов, шт.</t>
  </si>
  <si>
    <t>Протяженность канализационных сетей (в однотрубном исчислении), км.</t>
  </si>
  <si>
    <t>Количество насосных станций, шт.</t>
  </si>
  <si>
    <t>Количество очистных сооружений, шт.</t>
  </si>
  <si>
    <t>Протяженность водопроводных сетей (в однотрубном исчислении), км</t>
  </si>
  <si>
    <t>Количество скважин, шт.</t>
  </si>
  <si>
    <t>Количество подкачивающих насосных станций, шт.</t>
  </si>
  <si>
    <t>Протяженность сетей горячего водоснабжения (в однотрубном исчислении), км</t>
  </si>
  <si>
    <t>Количество теплоэлектростанций, шт.</t>
  </si>
  <si>
    <t>Установленная электрическая мощность</t>
  </si>
  <si>
    <t>Единицы изменения</t>
  </si>
  <si>
    <t>Установленная тепловая мощность, Гкал/ч</t>
  </si>
  <si>
    <t>Количество тепловых станций, шт.</t>
  </si>
  <si>
    <t>Количество котельных, шт.</t>
  </si>
  <si>
    <t>0</t>
  </si>
  <si>
    <t>Значения протяженности сетей, показателей в блоках "Теплоэлектростанции", "Тепловые станции", "Котельные" (за исключением колонки "Единицы измерения"), количества центральных тепловых пунктов указываются в виде целых и неотрицательных чисел._x000D_
В случае отсутствия тепловых сетей, теплоэлектростанций, тепловых станций, котельных, центральных тепловых пунктов в соответствующей колонке указывается значение 0._x000D_
В колонке "Единицы измерения" в блоке "Теплоэлектростанции" выбирается одно из значений: кВт*ч или МВт._x000D_
В случае оказания услуг в нескольких системах теплоснабжения информация по каждой из них указывается в отдельной строке.</t>
  </si>
  <si>
    <t>Значения протяженности сетей, количества насосных станций, количества очистных сооружений указываются в виде целых и  неотрицательных чисел._x000D_
В случае отсутствия канализационных сетей, насосных станций, очистных сооружений в соответствующей колонке указывается значение 0._x000D_
В случае осуществления регулируемых видов деятельности в нескольких централизованных системах водоотведения информация по каждой из них указывается в отдельной строке._x000D_
В случае осуществления регулируемых видов деятельности с использованием одной централизованной системы водоотведения на территории нескольких субъектов Российской Федерации значение показателя указывается в целом по данной централизованной системе</t>
  </si>
  <si>
    <t>Значения протяженности сетей, количества скважин, количества подкачивающих насосных станций указываются в виде целых и неотрицательных чисел._x000D_
В случае отсутствия водопроводных сетей, скважин, подкачивающих станций в соответствующей колонке указывается значение 0._x000D_
В случае осуществления регулируемых видов деятельности в нескольких централизованных системах холодного водоснабжения информация по каждой из них указывается в отдельной строке._x000D_
В случае осуществления регулируемых видов деятельности с использованием одной централизованной системы холодного водоснабжения на территории нескольких субъектов Российской Федерации значение показателя указывается в целом по данной централизованной системе.</t>
  </si>
  <si>
    <t>Значения протяженности сетей, количества центральных тепловых пунктов указываются в виде целых и неотрицательных чисел._x000D_
В случае отсутствия водопроводных сетей, центральных тепловых пунктов в соответствующей колонке указывается значение 0._x000D_
В случае осуществления регулируемых видов деятельности в нескольких централизованных системах горячего водоснабжения информация по каждой из них указывается в отдельной строке.</t>
  </si>
  <si>
    <t>n</t>
  </si>
  <si>
    <t>64235586; 64235587</t>
  </si>
  <si>
    <t>Добавить вид объекта</t>
  </si>
  <si>
    <t>Форма 2. Вид деятельности и виды объектов, используемых для оказания услуг в области обращения с твердыми коммунальными отходами, и их количество</t>
  </si>
  <si>
    <t>Вид объекта, используемых для оказания услуг в области обращения с твердыми коммунальными отходами</t>
  </si>
  <si>
    <t>Количество объектов, используемых для оказания услуг в области обращения с твердыми коммунальными отходами, шт.</t>
  </si>
  <si>
    <t>Значение количества объектов, используемых для оказания услуг в области обращения с твердыми коммунальными отходами, указывается в виде целых и неотрицательных чисел._x000D_
В случае отсутствия объектов того или иного вида, используемых для оказания услуг в области обращения с твердыми коммунальными отходами, указывается значение «0»._x000D_
В случае оказания услуг по нескольким видам деятельности информация по каждому из них указывается отдельно._x000D_
В случае наличия нескольких видов объектов, используемых для оказания услуг в области обращения с твердыми коммунальными отходами, информация по каждому из них указывается отдельно.</t>
  </si>
  <si>
    <t>Информация об отсутствии сети "Интернет" &lt;1&gt;</t>
  </si>
  <si>
    <t>Отсутствует доступ к сети "Интернет"</t>
  </si>
  <si>
    <t>Ссылка на документ</t>
  </si>
  <si>
    <t>В случае отсутствия доступа к сети "Интернет" на территории выбранного муниципального образования в колонке "Отсутствует доступ к сети "Интернет" указывается "Да"._x000D_
В колонке "Ссылка на документ" указывается материал в виде ссылки на документ, подтверждающий отсутствие сети "Интернет" на территории выбранного муниципального образования, предварительно загруженный в хранилище данных ФГИС ЕИАС._x000D_
В случае отсутствия доступа к сети "Интернет" на территории нескольких муниципальных районов (муниципальных образований) информация по каждому из них указывается в отдельной строке.</t>
  </si>
  <si>
    <t>Омский муниципальный район</t>
  </si>
  <si>
    <t>Ачаирское сельское поселение</t>
  </si>
  <si>
    <t>52644404</t>
  </si>
  <si>
    <t>Ачаирское сельское поселение (52644404)</t>
  </si>
  <si>
    <t>Указывается наименование тарифа в случае утверждения нескольких тарифов._x000D_
В случае наличия нескольких тарифов информация по ним указывается в отдельных строках.</t>
  </si>
  <si>
    <t>Территория действия тарифа</t>
  </si>
  <si>
    <t>Указывается наименование территории действия тарифа при наличии дифференциации тарифа по территориальному признаку._x000D_
В случае дифференциации тарифов по территориальному признаку информация по ним указывается в отдельных строках.</t>
  </si>
  <si>
    <t xml:space="preserve">Наименование системы теплоснабжения </t>
  </si>
  <si>
    <t>Указывается наименование системы теплоснабжения при наличии дифференциации тарифа по системам теплоснабжения._x000D_
В случае дифференциации тарифов по системам теплоснабжения информация по ним указывается в отдельных строках.</t>
  </si>
  <si>
    <t xml:space="preserve">Источник тепловой энергии  </t>
  </si>
  <si>
    <t>Указывается наименование источника тепловой энергии_x000D_
В случае дифференциации тарифов по источникам тепловой энергии информация по ним указывается в отдельных строках.</t>
  </si>
  <si>
    <t>SCHEME</t>
  </si>
  <si>
    <t>Схема подключения теплопотребляющей установки к коллектору источника тепловой энергии</t>
  </si>
  <si>
    <t>Указывается схема подключения теплопотребляющей установки к коллектору источника тепловой энергии только для тарифов на тепловую энергию и за услуги по поддержанию резервной мощности_x000D_
Значение выбирается из перечня:_x000D_
   - без дифференциации_x000D_
   - к коллектору источника тепловой энергии_x000D_
   - к тепловой сети без дополнительного преобразования на тепловых пунктах, эксплуатируемых теплоснабжающей организацией_x000D_
   - к тепловой сети после тепловых пунктов (на тепловых пунктах), эксплуатируемых теплоснабжающей организацией_x000D_
В случае дифференциации тарифов по схемам подключения теплопотребляющей установки к коллектору источника тепловой энергии информация по ним указывается в отдельных строках.</t>
  </si>
  <si>
    <t>GROUP_CONSUMER</t>
  </si>
  <si>
    <t>Группа потребителей</t>
  </si>
  <si>
    <t>Указывается группа потребителей при наличии дифференциации тарифа по группам потребителей._x000D_
Значение выбирается из перечня:_x000D_
   - организации-перепродавцы;_x000D_
   - бюджетные организации;_x000D_
   - население;_x000D_
   - прочие;_x000D_
   - без дифференциации._x000D_
В случае дифференциации тарифов группам потребителей информация по ним указывается в отдельных строках.</t>
  </si>
  <si>
    <t>TN</t>
  </si>
  <si>
    <t>В колонке «Параметр дифференциации тарифов» указывается вид теплоносителя._x000D_
Значение выбирается из перечня:_x000D_
   - вода;_x000D_
   - пар;_x000D_
   - отборный пар, 1.2 – 2.5 кг/см2;_x000D_
   - отборный пар, 2.5 – 7 кг/см2;_x000D_
   - отборный пар, 7 – 13 кг/см2;_x000D_
   - отборный пар, &gt; 13 кг/см2;_x000D_
   - острый и редуцированный пар;_x000D_
   - горячая вода в системе централизованного теплоснабжения на отопление;_x000D_
   - горячая вода в системе централизованного теплоснабжения на горячее водоснабжение;_x000D_
   - прочее._x000D_
При утверждении двухставочного тарифа колонка «Одноставочный тариф» не заполняется._x000D_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«ДД.ММ.ГГГГ»._x000D_
В случае отсутствия даты окончания действия тарифа в колонке «Дата окончания» указывается «нет». Информация в колонке «Ставка за содержание тепловой мощности, тыс. руб./Гкал/ч/мес» указывается только для тарифа по поддержанию резервной мощности._x000D_
В случае дифференциации тарифов по периодам действия тарифа информация по ним указывается в отдельных колонках._x000D_
В случае дифференциации тарифов по видам теплоносителя информация по ним указывается в отдельных строках.</t>
  </si>
  <si>
    <t>Добавить вид теплоносителя (параметры теплоносителя)</t>
  </si>
  <si>
    <t>Добавить группу потребителей</t>
  </si>
  <si>
    <t>Добавить схему подключения</t>
  </si>
  <si>
    <t>Добавить источник для дифференциации</t>
  </si>
  <si>
    <t>Добавить централизованную систему для дифференциации</t>
  </si>
  <si>
    <t>Добавить территорию для дифференциации</t>
  </si>
  <si>
    <t>PERIOD_FROM_FIRST_ROW</t>
  </si>
  <si>
    <t>FLAG_BLOCK_COLUMN</t>
  </si>
  <si>
    <t>SPR</t>
  </si>
  <si>
    <t>FLAG_START_DATE</t>
  </si>
  <si>
    <t>FLAG_ETC_PERIOD</t>
  </si>
  <si>
    <t>FLAG_END_DATE</t>
  </si>
  <si>
    <t>Дата документа об утверждении тарифов</t>
  </si>
  <si>
    <t>Номер документа об утверждении тарифов</t>
  </si>
  <si>
    <t>Дата подачи заявления об утверждении тарифов</t>
  </si>
  <si>
    <t>Номер подачи заявления об утверждении тарифов</t>
  </si>
  <si>
    <t>dp</t>
  </si>
  <si>
    <t>Параметр дифференциации тарифа</t>
  </si>
  <si>
    <t>Величина и срок действия тарифа</t>
  </si>
  <si>
    <t>Наличие других периодов действия тарифа</t>
  </si>
  <si>
    <t>Наличие других сроков действия тарифа</t>
  </si>
  <si>
    <t>Добавить срок действия</t>
  </si>
  <si>
    <t>Одноставочный тариф,_x000D_
руб./Гкал</t>
  </si>
  <si>
    <t>Ставка за содержание тепловой мощности,_x000D_
тыс. руб./Гкал/ч/мес.</t>
  </si>
  <si>
    <t>Двухставочный тариф</t>
  </si>
  <si>
    <t>Срок действия</t>
  </si>
  <si>
    <t>NUM_NTAR</t>
  </si>
  <si>
    <t>NUM_TER</t>
  </si>
  <si>
    <t>NUM_CS</t>
  </si>
  <si>
    <t>NUM_IST_TE</t>
  </si>
  <si>
    <t>NUM_SCHEME</t>
  </si>
  <si>
    <t>NUM_GC</t>
  </si>
  <si>
    <t>NUM_TN</t>
  </si>
  <si>
    <t>ставка за тепловую энергию,_x000D_
руб./Гкал</t>
  </si>
  <si>
    <t>ставка за содержание тепловой мощности,_x000D_
тыс. руб./Гкал/ч/мес</t>
  </si>
  <si>
    <t>дата начала</t>
  </si>
  <si>
    <t>дата окончания</t>
  </si>
  <si>
    <t>Добавить наименование тарифа</t>
  </si>
  <si>
    <t>Период действия</t>
  </si>
  <si>
    <t>Одноставочный тариф,_x000D_
руб./куб.м</t>
  </si>
  <si>
    <t>В колонке «Параметр дифференциации тарифов» указывается вид теплоносителя._x000D_
Значение выбирается из перечня:_x000D_
   - вода;_x000D_
   - пар;_x000D_
   - отборный пар, 1.2 – 2.5 кг/см2;_x000D_
   - отборный пар, 2.5 – 7 кг/см2;_x000D_
   - отборный пар, 7 – 13 кг/см2;_x000D_
   - отборный пар, &gt; 13 кг/см2;_x000D_
   - острый и редуцированный пар;_x000D_
   - горячая вода в системе централизованного теплоснабжения на отопление;_x000D_
   - горячая вода в системе централизованного теплоснабжения на горячее водоснабжение;_x000D_
   - прочее._x000D_
При утверждении двухставочного тарифа тариф колонка "Одноставочный тариф" не заполняется._x000D_
При подаче утверждении одноставочного тарифа колонки в блоке "Двухставочный тариф" не заполняются.Информация в колонке "Двухставочный тариф" не указывается для тарифа на теплоноситель._x000D_
Даты начала и окончания действия тарифов указываются в виде "ДД.ММ.ГГГГ"._x000D_
В случае отсутствия даты окончания действия тарифа в колонке "Дата окончания" указывается "Нет".В случае дифференциации тарифов по видам теплоносителя информация по ним указывается в отдельных строках.</t>
  </si>
  <si>
    <t>Указывается вид теплоносителя. _x000D_
Значение выбирается из перечня:_x000D_
   - вода;_x000D_
   - пар;_x000D_
   - отборный пар, 1.2 – 2.5 кг/см2;_x000D_
   - отборный пар, 2.5 – 7 кг/см2;_x000D_
   - отборный пар, 7 – 13 кг/см2;_x000D_
   - отборный пар, &gt; 13 кг/см2;_x000D_
   - острый и редуцированный пар;_x000D_
   - горячая вода в системе централизованного теплоснабжения на отопление;_x000D_
   - горячая вода в системе централизованного теплоснабжения на горячее водоснабжение;_x000D_
   - прочее._x000D_
В случае дифференциации тарифов по видам теплоносителя информация по ним указывается в отдельных строках.</t>
  </si>
  <si>
    <t>В колонке "Параметр дифференциации тарифов" указывается наименование поставщика в случае наличия дифференциации компонента двухставочного тарифа на горячую воду по поставщикам._x000D_
При утверждении двухставочного тарифа колонка "Одноставочный тариф" не заполняется._x000D_
При утверждении одноставочного тарифа колонки в блоке "Двухставочный тариф" не заполняются._x000D_
В случае отсутствия разбивки тарифа на компоненты колонки "Компонент на теплоноситель, руб./куб. м" и "Одноставочный компонент на тепловую энергию, руб/Гкал" не заполняются._x000D_
Даты начала и окончания действия тарифов указываются в виде "ДД.ММ.ГГГГ"._x000D_
В случае отсутствия даты окончания действия тарифа в колонке "Дата окончания" указывается "Нет"._x000D_
В случае дифференциации тарифов по поставщикам информация по ним указывается в отдельных строках.</t>
  </si>
  <si>
    <t>Добавить наименование поставщика</t>
  </si>
  <si>
    <t>Одноставочный тариф на горячую воду,_x000D_
руб./куб. м</t>
  </si>
  <si>
    <t>Двухкомпонентный тариф на горячую воду</t>
  </si>
  <si>
    <t>Компонент на теплоноситель,_x000D_
руб./куб. м</t>
  </si>
  <si>
    <t>Компонента на тепловую энергию</t>
  </si>
  <si>
    <t>Одноставочный компонент тарифа на тепловую энергию,_x000D_
руб/Гкал</t>
  </si>
  <si>
    <t>Двухставочный компонент тарифа на тепловую энергию</t>
  </si>
  <si>
    <t>NUM_CONS</t>
  </si>
  <si>
    <t>ставка за потребление горячей воды,_x000D_
руб./куб. м</t>
  </si>
  <si>
    <t>ставка за содержание тепловой мощности в компоненте на тепловую энергию,_x000D_
тыс. руб./Гкал/ч в мес.</t>
  </si>
  <si>
    <t>В колонке "Параметр дифференциации тарифа/Заявитель" указывается наименование категории потребителей, к которой относится тариф._x000D_
Даты начала и окончания указываются в виде "ДД.ММ.ГГГГ"._x000D_
В случае отсутствия даты окончания тарифа в колонке "Дата окончания" указывается "Нет"._x000D_
В случае наличия дифференциации по подключаемой нагрузке, диапазону диаметров, типу прокладки тепловых сетей,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</si>
  <si>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Добавить диапазон диаметров тепловых сетей</t>
  </si>
  <si>
    <t>Добавить тип прокладки тепловых сетей</t>
  </si>
  <si>
    <t>Добавить подключаемую тепловую нагрузку</t>
  </si>
  <si>
    <t>Добавить строку</t>
  </si>
  <si>
    <t>FLAG</t>
  </si>
  <si>
    <t>LOAD</t>
  </si>
  <si>
    <t>NETS</t>
  </si>
  <si>
    <t>DIAMETERS</t>
  </si>
  <si>
    <t>Параметр дифференциации тарифа/ заявитель/ наименование объекта/адрес</t>
  </si>
  <si>
    <t>Подключаемая тепловая нагрузка,_x000D_
Гкал/ч</t>
  </si>
  <si>
    <t>Тип прокладки тепловых сетей</t>
  </si>
  <si>
    <t>Диаметр тепловых сетей,_x000D_
мм</t>
  </si>
  <si>
    <t>Плата за подключение (технологическое присоединение)</t>
  </si>
  <si>
    <t>с НДС</t>
  </si>
  <si>
    <t>без НДС</t>
  </si>
  <si>
    <t>В колонке "Параметр дифференциации тарифа/заявитель/наименование объекта/адрес" указывается наименование категории потребителей, к которой относится тариф._x000D_
Даты начала и окончания указываются в виде "ДД.ММ.ГГГГ"._x000D_
В случае отсутствия даты окончания тарифа в колонке "Дата окончания" указывается "Нет"._x000D_
В случае наличия дифференциации по подключаемой нагрузке, диапазону диаметров, типу прокладки тепловых сетей,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</si>
  <si>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Наименование централизованной системы холодного водоснабжения</t>
  </si>
  <si>
    <t>Указывается наименование централизованной системы холодного водоснабжения при наличии дифференциации тарифа по централизованным системам холодного водоснабжения._x000D_
В случае дифференциации тарифов по централизованным системам холодного водоснабжения информация по ним указывается в отдельных строках.</t>
  </si>
  <si>
    <t>Наименование признака дифференциации</t>
  </si>
  <si>
    <t>Указывается наименование дополнительного признака дифференциации (при наличии)._x000D_
Дифференциация тарифа осуществляется в соответствии с законодательством в сфере водоснабжения и водоотведения._x000D_
В случае дифференциации тарифов по дополнительным признакам информация по ним указывается в отдельных строках.</t>
  </si>
  <si>
    <t>Указывается группа потребителей при наличии дифференциации тарифа по группам потребителей._x000D_
Значение выбирается из перечня:_x000D_
  - Организации-перепродавцы;_x000D_
  - Бюджетные организации;_x000D_
  - Население;_x000D_
  - Прочие;_x000D_
  - Без дифференциации._x000D_
В случае дифференциации тарифов по группам потребителей информация по ним указывается в отдельных строках.</t>
  </si>
  <si>
    <t>Добавить значение признака дифференциации</t>
  </si>
  <si>
    <t>В случае наличия нескольких значений признака дифференциации тарифов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</si>
  <si>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Добавить наименование признака дифференциации</t>
  </si>
  <si>
    <t>Одноставочный тариф</t>
  </si>
  <si>
    <t>NUM_FLAG_DIFF</t>
  </si>
  <si>
    <t>NUM_DATA_DIFF</t>
  </si>
  <si>
    <t>Одноставочный тариф,_x000D_
руб./куб. м</t>
  </si>
  <si>
    <t>ставка платы за объем поданной воды,_x000D_
руб./куб. м</t>
  </si>
  <si>
    <t>ставка платы за содержание мощности,_x000D_
руб./куб. м в час</t>
  </si>
  <si>
    <t>pt_ist_te_9</t>
  </si>
  <si>
    <t>pt_ist_te_10</t>
  </si>
  <si>
    <t>pt_ist_te_11</t>
  </si>
  <si>
    <t>pt_ist_te_12</t>
  </si>
  <si>
    <t>Заявитель</t>
  </si>
  <si>
    <t>Наименование объекта, адрес</t>
  </si>
  <si>
    <t>В колонке "Параметр дифференциации тарифа/Заявитель" указывается наименование категории потребителей/заявителя, к которой относится тариф._x000D_
Даты начала и окончания указываются в виде "ДД.ММ.ГГГГ"._x000D_
В случае отсутствия даты окончания тарифа в колонке "Дата окончания" указывается "Нет"._x000D_
В случае дифференциации по категориям потребителей/заявителям, подключаемой нагрузке, диапазону диаметров, протяженности, условиям прокладки водопроводной сети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</si>
  <si>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Добавить условия прокладки сетей</t>
  </si>
  <si>
    <t>Добавить протяженность водопроводной сети</t>
  </si>
  <si>
    <t>Добавить диапазон диаметров водопроводной сети</t>
  </si>
  <si>
    <t>Добавить подключаемую нагрузку</t>
  </si>
  <si>
    <t>DIAMETERS_2</t>
  </si>
  <si>
    <t>Параметр дифференциации тарифа/Заявитель/Наименование объекта/Адрес</t>
  </si>
  <si>
    <t>Подключаемая нагрузка водопроводной сети,_x000D_
куб. м/сут</t>
  </si>
  <si>
    <t>Диапазон диаметров водопроводной сети,_x000D_
мм</t>
  </si>
  <si>
    <t>Протяженность водопроводной сети,_x000D_
км</t>
  </si>
  <si>
    <t>Условия прокладки сетей</t>
  </si>
  <si>
    <t>Ставка тарифа за подключаемую нагрузку водопроводной сети,_x000D_
тыс. руб./куб. м в сутки</t>
  </si>
  <si>
    <t>Ставка тарифа за протяженность водопроводной сети диаметром d,_x000D_
тыс. руб./км</t>
  </si>
  <si>
    <t>Срок действия тарифов</t>
  </si>
  <si>
    <t>pt_ist_te_13</t>
  </si>
  <si>
    <t>Наименование централизованной системы водоотведения</t>
  </si>
  <si>
    <t>Указывается наименование централизованной системы водоотведения при наличии дифференциации тарифа по централизованным системам водоотведения._x000D_
В случае дифференциации тарифов по централизованным системам водоотведения информация по ним указывается в отдельных строках.</t>
  </si>
  <si>
    <t>одноставочный тариф,_x000D_
руб./куб. м</t>
  </si>
  <si>
    <t>ставка платы за объем _x000D_
принятых сточных вод,_x000D_
руб./куб. м</t>
  </si>
  <si>
    <t>pt_ist_te_17</t>
  </si>
  <si>
    <t>pt_ist_te_18</t>
  </si>
  <si>
    <t>Добавить протяженность сети</t>
  </si>
  <si>
    <t>Добавить диапазон диаметров</t>
  </si>
  <si>
    <t>Подключаемая нагрузка канализационной сети,_x000D_
куб. м/сут</t>
  </si>
  <si>
    <t>Диапазон диаметров канализационной сети,_x000D_
мм</t>
  </si>
  <si>
    <t>Протяженность канализационной  сети,_x000D_
км</t>
  </si>
  <si>
    <t>Ставка тарифа за подключаемую нагрузку канализационной сети,_x000D_
тыс. руб./куб. м в сутки</t>
  </si>
  <si>
    <t>Ставка тарифа за протяженность канализационной сети диаметром d,_x000D_
тыс. руб./км</t>
  </si>
  <si>
    <t>pt_ist_te_19</t>
  </si>
  <si>
    <t>Наименование централизованной системы горячего водоснабжения</t>
  </si>
  <si>
    <t>Указывается наименование централизованной системы горячего водоснабжения при наличии дифференциации тарифа по централизованным системам горячего водоснабжения._x000D_
В случае дифференциации тарифов по централизованным системам горячего водоснабжения информация по ним указывается в отдельных строках.</t>
  </si>
  <si>
    <t>Одноставочный тариф, руб./куб. м</t>
  </si>
  <si>
    <t>Компонент на холодную воду</t>
  </si>
  <si>
    <t>Компонент на тепловую энергию</t>
  </si>
  <si>
    <t>Одноставочный, руб./куб.м</t>
  </si>
  <si>
    <t>Двухставочный тариф</t>
  </si>
  <si>
    <t>Одноставочный, руб./Гкал</t>
  </si>
  <si>
    <t>Ставка за содержание системы, руб./куб. м в час</t>
  </si>
  <si>
    <t>Ставка за объём поданной воды, руб./куб.м</t>
  </si>
  <si>
    <t>Ставка за тепловую энергию, руб./Гкал</t>
  </si>
  <si>
    <t>Ставка за содержание тепловой мощности, руб./Гкал в час в месяц</t>
  </si>
  <si>
    <t>pt_ist_te_14</t>
  </si>
  <si>
    <t>pt_ist_te_15</t>
  </si>
  <si>
    <t>pt_ist_te_16</t>
  </si>
  <si>
    <t>vt</t>
  </si>
  <si>
    <t>х</t>
  </si>
  <si>
    <t>В колонке «Наименование параметра» указывается вид приобретаемого топлива._x000D_
Если приобретается несколько видов топлива, то информация по каждому из них указывается отдельно.</t>
  </si>
  <si>
    <t>общая стоимость</t>
  </si>
  <si>
    <t>объём</t>
  </si>
  <si>
    <t>В колонке «Единица измерения» указываются единицы измерения объема приобретаемого топлива._x000D_
В колонке «Информация» указывается величина объема приобретаемого топлива.</t>
  </si>
  <si>
    <t>стоимость за единицу объёма</t>
  </si>
  <si>
    <t>тыс. руб.</t>
  </si>
  <si>
    <t>стоимость доставки</t>
  </si>
  <si>
    <t>способ приобретения</t>
  </si>
  <si>
    <t>Указываются прочие расходы, которые подлежат отнесению на регулируемые виды деятельности в соответствии с законодательством.</t>
  </si>
  <si>
    <t>Гкал/ч</t>
  </si>
  <si>
    <t>Указывается установленная тепловая мощность для источника тепловой энергии.</t>
  </si>
  <si>
    <t>%</t>
  </si>
  <si>
    <t>Указывается показатель использования по производственному объекту как процент объем перекачки по отношению к пиковому дню отчетного года.</t>
  </si>
  <si>
    <t>кг у. т./Гкал</t>
  </si>
  <si>
    <t>Указывается норматив удельного расхода условного топлива при производстве тепловой энергии источниками тепловой энергии для отдельного источника тепловой энергии.</t>
  </si>
  <si>
    <t>кг усл. топл./Гкал</t>
  </si>
  <si>
    <t>Указывается фактический удельный расход условного топлива при производстве тепловой энергии источниками тепловой энергии для отдельного источника тепловой энергии.</t>
  </si>
  <si>
    <t>Территория оказания услуг</t>
  </si>
  <si>
    <t>Централизованная система</t>
  </si>
  <si>
    <t>Единица измерения</t>
  </si>
  <si>
    <t>p</t>
  </si>
  <si>
    <t>HEAT_P1</t>
  </si>
  <si>
    <t>Добавить вид топлива</t>
  </si>
  <si>
    <t>HOTVSNA_P1</t>
  </si>
  <si>
    <t>руб.</t>
  </si>
  <si>
    <t>тыс. кВт·ч</t>
  </si>
  <si>
    <t>HEAT_P6</t>
  </si>
  <si>
    <t>NOT_HOTVSNA</t>
  </si>
  <si>
    <t>отсутствует</t>
  </si>
  <si>
    <t>NOT_HEAT_P1</t>
  </si>
  <si>
    <t>Добавить прочие расходы</t>
  </si>
  <si>
    <t>HEAT_P2</t>
  </si>
  <si>
    <t>NOT_HEAT_P2</t>
  </si>
  <si>
    <t>COLDVSNA_P1</t>
  </si>
  <si>
    <t>тыс. куб. м</t>
  </si>
  <si>
    <t>HOTVSNA_P2</t>
  </si>
  <si>
    <t>тыс. Гкал</t>
  </si>
  <si>
    <t>VOTV_P1</t>
  </si>
  <si>
    <t>HEAT_P3</t>
  </si>
  <si>
    <t>Добавить источник тепловой энергии</t>
  </si>
  <si>
    <t>В случае наличия нескольких источников тепловой энергии установленная тепловая мощность по каждому из них указывается в отдельных строках.</t>
  </si>
  <si>
    <t>hyp</t>
  </si>
  <si>
    <t>тыс. Гкал/год</t>
  </si>
  <si>
    <t>человек</t>
  </si>
  <si>
    <t>HEAT_P4</t>
  </si>
  <si>
    <t>VSNA</t>
  </si>
  <si>
    <t>тыс. кВт·ч на тыс. куб. м</t>
  </si>
  <si>
    <t>COLDVSNA_P2</t>
  </si>
  <si>
    <t>Добавить производственный объект</t>
  </si>
  <si>
    <t>В случае наличия нескольких производственных объектов информация по каждому из них указывается в отдельной строке.</t>
  </si>
  <si>
    <t>HEAT_P5</t>
  </si>
  <si>
    <t>В случае наличия нескольких источников тепловой энергии норматив удельного расхода условного топлива по каждому из них указывается в отдельных строках.</t>
  </si>
  <si>
    <t>В случае наличия нескольких источников тепловой энергии фактический удельный расход условного топлива по каждому из них указывается в отдельных строках.</t>
  </si>
  <si>
    <t>тыс. кВт.ч/Гкал</t>
  </si>
  <si>
    <t>куб.м/Гкал</t>
  </si>
  <si>
    <t>Способ приобретения</t>
  </si>
  <si>
    <t>Реквизиты договора</t>
  </si>
  <si>
    <t>Наименование товара/услуги</t>
  </si>
  <si>
    <t>Объем приобретенных товаров, услуг</t>
  </si>
  <si>
    <t>Единица измерения объема</t>
  </si>
  <si>
    <t>Стоимость, тыс. руб.</t>
  </si>
  <si>
    <t>Доля расходов, % (от суммы расходов по указанной статье)</t>
  </si>
  <si>
    <t>NOTSHOW</t>
  </si>
  <si>
    <t>Информация об объемах товаров и услуг, их стоимости и способах приобретения у организаций, в том числе:</t>
  </si>
  <si>
    <t>Указывается сумма стоимости приобретения товаров и услуг у организаций, сумма оплаты услуг которых превышает 20% суммы расходов на капитальный и текущий ремонт основных производственных средства</t>
  </si>
  <si>
    <t>i</t>
  </si>
  <si>
    <t>Расходы на услуги производственного характера, выполняемые по договорам с организациями на проведение регламентных работ в рамках технологического процесса. Из них товары и услуги, приобретенные у организаций, сумма оплаты услуг которых превышает 20% суммы расходов по статье:</t>
  </si>
  <si>
    <t>Указывается сумма стоимости приобретения товаров и услуг у организаций, сумма оплаты услуг которых превышает 20% суммы расходов на услуги производственного характера</t>
  </si>
  <si>
    <t>Добавить поставщика</t>
  </si>
  <si>
    <t>L.HEAT.POWER.DYN</t>
  </si>
  <si>
    <t>Установленная тепловая мощность объекта основных фондов</t>
  </si>
  <si>
    <t>ЧСЛ</t>
  </si>
  <si>
    <t>НОМЕР</t>
  </si>
  <si>
    <t>Форма 9. Информация об основных технико-экономических параметрах деятельности единой теплоснабжающей организации в ценовых зонах теплоснабжения, об основных технико-экономических параметрах деятельности теплоснабжающей организации в ценовых зонах теплоснабжения и теплосетевой организации в ценовых зонах теплоснабжения</t>
  </si>
  <si>
    <t>ВЭД</t>
  </si>
  <si>
    <t>РАЙОН</t>
  </si>
  <si>
    <t>НМОБ</t>
  </si>
  <si>
    <t>НОМЕР2</t>
  </si>
  <si>
    <t>ДЕТ</t>
  </si>
  <si>
    <t>L.ACC.STATEMENTS</t>
  </si>
  <si>
    <t>Годовая бухгалтерская (финансовая) отчетность</t>
  </si>
  <si>
    <t>СТР</t>
  </si>
  <si>
    <t>Не определено</t>
  </si>
  <si>
    <t>Годовая бухгалтерская (финансовая) отчетность, включая бухгалтерский баланс и приложения к нему</t>
  </si>
  <si>
    <t>p3</t>
  </si>
  <si>
    <t>Указывается ссылка на документ, предварительно загруженный в хранилище файлов ФГИС ЕИАС.</t>
  </si>
  <si>
    <t>L.HEAT.POWER</t>
  </si>
  <si>
    <t>Установленная тепловая мощность объектов основных фондов</t>
  </si>
  <si>
    <t>Установленная тепловая мощность объектов основных фондов, используемых для теплоснабжения, в том числе по каждому источнику тепловой энергии</t>
  </si>
  <si>
    <t>Указывается суммарная установленная тепловая мощность объектов основных фондов, используемых для осуществления теплоснабжения.</t>
  </si>
  <si>
    <t>2.0</t>
  </si>
  <si>
    <t>L.HEAT.LOAD</t>
  </si>
  <si>
    <t>Тепловая нагрузка по договорам теплоснабжения</t>
  </si>
  <si>
    <t>Информация раскрывается только единой теплоснабжающей организацией в ценовых зонах теплоснабжения.</t>
  </si>
  <si>
    <t>L.VOLUME.ENERGY.PRODUCED</t>
  </si>
  <si>
    <t>Объем вырабатываемой тепловой энергии</t>
  </si>
  <si>
    <t>Объем вырабатываемой единой теплоснабжающей организацией в ценовых зонах теплоснабжения тепловой энергии, теплоснабжающей организацией в ценовых зонах теплоснабжения и передаваемой теплосетевой организацией в ценовых зонах теплоснабжения тепловой энергии</t>
  </si>
  <si>
    <t>L.VOLUME.ENERGY.PURCHASED</t>
  </si>
  <si>
    <t>Объем приобретаемой тепловой энергии</t>
  </si>
  <si>
    <t>Объем приобретаемой единой теплоснабжающей организацией в ценовых зонах теплоснабжения тепловой энергии</t>
  </si>
  <si>
    <t>L.VOLUME.ENERGY.RELEASED</t>
  </si>
  <si>
    <t>Объем тепловой энергии, отпускаемой потребителям по договорам</t>
  </si>
  <si>
    <t xml:space="preserve">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 </t>
  </si>
  <si>
    <t>Указывается общий объем тепловой энергии, отпускаемой потребителям._x000D_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t>
  </si>
  <si>
    <t>L.RELEASED.BY.PU</t>
  </si>
  <si>
    <t xml:space="preserve">Объем тепловой энергии по приборам учета </t>
  </si>
  <si>
    <t>6.1</t>
  </si>
  <si>
    <t xml:space="preserve">по приборам учета </t>
  </si>
  <si>
    <t>L.RELEASED.BY.CALC</t>
  </si>
  <si>
    <t xml:space="preserve">Объем тепловой энергии расчетным путем </t>
  </si>
  <si>
    <t>6.2</t>
  </si>
  <si>
    <t xml:space="preserve">расчетным путем </t>
  </si>
  <si>
    <t>L.RELEASED.BY.NORMATIVE</t>
  </si>
  <si>
    <t>Объем тепловой энергии по нормативам потребления</t>
  </si>
  <si>
    <t>6.3</t>
  </si>
  <si>
    <t>по нормативам потребления коммунальных услуг и нормативам потребления коммунальных ресурсов</t>
  </si>
  <si>
    <t>L.VOLUME.LOSSES.PLAN</t>
  </si>
  <si>
    <t>Плановый объем потерь при передаче тепловой энергии</t>
  </si>
  <si>
    <t xml:space="preserve">тыс. Гкал/год </t>
  </si>
  <si>
    <t>L.VOLUME.LOSSES.FACT</t>
  </si>
  <si>
    <t>Фактический объем потерь при передаче тепловой энергии</t>
  </si>
  <si>
    <t>L.UNIT.COST.PLAN</t>
  </si>
  <si>
    <t>Плановый удельный расход условного топлива при производстве тепловой энергии</t>
  </si>
  <si>
    <t xml:space="preserve">Плановый удельный расход условного топлива при производстве тепловой энергии источниками тепловой энергии с распределением по источникам тепловой энергии </t>
  </si>
  <si>
    <t>L.UNIT.COST.FACT</t>
  </si>
  <si>
    <t>Фактический удельный расход условного топлива при производстве тепловой энергии</t>
  </si>
  <si>
    <t xml:space="preserve">Фактический удельный расход условного топлива при производстве тепловой энергии источниками тепловой энергии с распределением по источникам тепловой энергии </t>
  </si>
  <si>
    <t>L.PRODUCTION.STAFF</t>
  </si>
  <si>
    <t>Среднесписочная численность основного производственного персонала</t>
  </si>
  <si>
    <t>L.ADMINISTRATIVE STAFF</t>
  </si>
  <si>
    <t>Среднесписочная численность административно-управленческого персонала</t>
  </si>
  <si>
    <t>L.UNIT.COST.EE</t>
  </si>
  <si>
    <t>Удельный расход электрической энергии</t>
  </si>
  <si>
    <t xml:space="preserve">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 </t>
  </si>
  <si>
    <t>L.UNIT.COST.COLD.WATER</t>
  </si>
  <si>
    <t>Удельный расход холодной воды</t>
  </si>
  <si>
    <t xml:space="preserve">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 </t>
  </si>
  <si>
    <t>куб. м/Гкал</t>
  </si>
  <si>
    <t>L.CONDITION.INFO</t>
  </si>
  <si>
    <t>Информация о показателях технико-экономического состояния систем теплоснабжения</t>
  </si>
  <si>
    <t>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 информация о показателях физического износа объектов теплоснабжения, информация о показателях энергетической эффективности объектов теплоснабжения</t>
  </si>
  <si>
    <t>L.STANDARDS.OTHER</t>
  </si>
  <si>
    <t>Прочие стандарты</t>
  </si>
  <si>
    <t>Форма 10. Информация о стандартах качества обслуживания единой теплоснабжающей организацией в ценовых зонах теплоснабжения потре-бителей тепловой энергии и стандартах взаимодействия единой теплоснабжающей организации в ценовых зонах теплоснабжения с теплоснабжающими организациями в ценовых зонах теплоснабжения, владеющими на праве собственности и (или) ином законном основании источниками тепловой энергии, о выполнении соглашения об исполнении схемы теплоснабжения</t>
  </si>
  <si>
    <t xml:space="preserve">L.STANDARDS.SERVICE.QUALITY </t>
  </si>
  <si>
    <t>Стандарты качества обслуживания</t>
  </si>
  <si>
    <t>Стандарты качества обслуживания единой теплоснабжающей организацией в ценовых зонах теплоснабжения потребителей тепловой энергии</t>
  </si>
  <si>
    <t>Информация включает сведения о месте их опубликования.</t>
  </si>
  <si>
    <t>L.STANDARDS.INTERACTION</t>
  </si>
  <si>
    <t>Стандарты взаимодействия</t>
  </si>
  <si>
    <t>Стандарты взаимодействия единой теплоснабжающей организации в ценовых зонах теплоснабжения с теплоснабжающими организациями в ценовых зонах теплоснабжения, владеющими на праве собственности и (или) ином законном основании источниками тепловой энергии</t>
  </si>
  <si>
    <t>L.STANDARDS.AGREEMENT</t>
  </si>
  <si>
    <t>Информация о выполнении соглашения</t>
  </si>
  <si>
    <t>Информация о выполнении соглашения об исполнении схемы теплоснабжения</t>
  </si>
  <si>
    <t>Информация включает сведения о достижении целевых показателей испол-нения схемы теплоснабжения единой теплоснабжающей организацией в це-новых зонах теплоснабжения и выполнении сторонами соглашения обяза-тельств, включенных в указанное соглашение в соответствии с Федеральным законом от 27 июля 2010 г. № 190-ФЗ «О теплоснабжении».</t>
  </si>
  <si>
    <t>Добавить стандарты</t>
  </si>
  <si>
    <t>Указываются прочие расходы, которые подлежат отнесению на регулируемые виды деятельности в соответствии с законодательством в области обращения с твёрдыми коммунальными отходами.</t>
  </si>
  <si>
    <t>Форма 5. Информация об основных показателях финансово-хозяйственной деятельности организации в части регулируемых видов деятельности за отчётный год</t>
  </si>
  <si>
    <t>Выручка от регулируемого вида деятельности</t>
  </si>
  <si>
    <t xml:space="preserve">Указывается выручка от регулируемого вида деятельности </t>
  </si>
  <si>
    <t>Себестоимость оказываемых услуг по обращению с твёрдыми коммунальными отходами по регулируемому виду деятельности, включая:</t>
  </si>
  <si>
    <t xml:space="preserve">Указывается суммарная себестоимость </t>
  </si>
  <si>
    <t>2.1</t>
  </si>
  <si>
    <t>производственные расходы, в том числе:</t>
  </si>
  <si>
    <t>Указывается общая сумма производственных расходов.</t>
  </si>
  <si>
    <t>2.1.1</t>
  </si>
  <si>
    <t>расходы на оплату труда основного производственного персонала</t>
  </si>
  <si>
    <t>Указывается общая сумма расходов на оплату труда и страховых взносов производственного персонала.</t>
  </si>
  <si>
    <t>2.1.2</t>
  </si>
  <si>
    <t>страховые взносы на обязательное социальное страхование, выплачиваемые из фонда оплаты труда основного производственного персонала</t>
  </si>
  <si>
    <t>ремонтные расходы, включая:</t>
  </si>
  <si>
    <t>Указывается общая сумма ремонтных расходов</t>
  </si>
  <si>
    <t>2.2.1</t>
  </si>
  <si>
    <t>расходы на текущий ремонт</t>
  </si>
  <si>
    <t>2.2.2</t>
  </si>
  <si>
    <t>расходы на капитальный ремонт</t>
  </si>
  <si>
    <t>административные расходы, в том числе:</t>
  </si>
  <si>
    <t>Указывается общая сумма расходов на оплату труда и страховых взносов административно-управленческого персонала</t>
  </si>
  <si>
    <t>2.3.1</t>
  </si>
  <si>
    <t>расходы на оплату труда</t>
  </si>
  <si>
    <t>2.3.2</t>
  </si>
  <si>
    <t xml:space="preserve">страховые взносы на обязательное социальное страхование, выплачиваемые из фонда оплаты труда административно-управленческого персонала </t>
  </si>
  <si>
    <t>2.4</t>
  </si>
  <si>
    <t>расходы на амортизацию основных средств и нематериальных активов:</t>
  </si>
  <si>
    <t>Указывается общая сумма расходов на амортизацию основных средства и нематериальных активов</t>
  </si>
  <si>
    <t>2.4.1</t>
  </si>
  <si>
    <t>расходы на амортизацию основных средств</t>
  </si>
  <si>
    <t>2.4.2</t>
  </si>
  <si>
    <t>расходы на амортизацию нематериальных активов</t>
  </si>
  <si>
    <t>2.5</t>
  </si>
  <si>
    <t>расходы на арендную плату</t>
  </si>
  <si>
    <t>2.6</t>
  </si>
  <si>
    <t>расходы на лизинговые платежи</t>
  </si>
  <si>
    <t>2.7</t>
  </si>
  <si>
    <t xml:space="preserve"> расходы на концессионную плату</t>
  </si>
  <si>
    <t>2.8</t>
  </si>
  <si>
    <t>прочие расходы, которые подлежат отнесению на регулируемые виды деятельности, в том числе:</t>
  </si>
  <si>
    <t>Указывается общая сумма прочих расходов, которые подлежат отнесению на регулируемые виды деятельности в соответствии с законодательством в области обращения с твёрдыми коммунальными отходами.</t>
  </si>
  <si>
    <t>В случае наличия нескольких видов прочих расходов информация указывается в отдельных строках.</t>
  </si>
  <si>
    <t>2.9</t>
  </si>
  <si>
    <t>расходы на транспортирование твёрдых коммунальных отходов</t>
  </si>
  <si>
    <t>Указывается сумма расходов на оплату выполняемых сторонними организациями услуг, связанных с осуществлением деятельности по транспортированию твёрдых коммунальных отходов в соответствии с договорами, заключенными региональным оператором с операторами, осуществляющими транспортирование твёрдых коммунальных отходов, при самостоятельном транспортировании твёрдых коммунальных отходов региональным оператором (при их наличии).</t>
  </si>
  <si>
    <t>Чистая прибыль с разбивкой по регулируемым видам деятельности, в том числе:</t>
  </si>
  <si>
    <t>Указывается общая сумма чистой прибыли, полученной от регулируемого вида деятельности.</t>
  </si>
  <si>
    <t>размер расходования чистой прибыли на финансирование мероприятий, предусмотренных инвестиционной программой</t>
  </si>
  <si>
    <t>Изменение стоимости основных фондов, в том числе:</t>
  </si>
  <si>
    <t>Указывается общее изменение стоимости основных фондов.</t>
  </si>
  <si>
    <t>4.1</t>
  </si>
  <si>
    <t>изменение стоимости основных фондов за счет их ввода в эксплуатацию (вывода из эксплуатации)</t>
  </si>
  <si>
    <t>Указываются общее изменение стоимости основных фондов за счет их ввода в эксплуатацию (вывода из эксплуатации).</t>
  </si>
  <si>
    <t>4.1.1</t>
  </si>
  <si>
    <t>изменение стоимости основных фондов за счет их ввода в эксплуатацию</t>
  </si>
  <si>
    <t>Указываются изменение стоимости основных фондов за счет их ввода в эксплуатацию.</t>
  </si>
  <si>
    <t>4.1.2</t>
  </si>
  <si>
    <t>изменение стоимости основных фондов за счет их вывода в эксплуатацию</t>
  </si>
  <si>
    <t>Указываются изменение стоимости основных фондов за счет их вывода из эксплуатации.</t>
  </si>
  <si>
    <t>4.1.3</t>
  </si>
  <si>
    <t>изменение стоимости основных фондов за счет их переоценки</t>
  </si>
  <si>
    <t>Указываются изменение стоимости основных фондов за счет их переоценки.</t>
  </si>
  <si>
    <t>-</t>
  </si>
  <si>
    <t>Указывается ссылка на документ, предварительно загруженный в хранилище файлов ФГИС ЕИАС._x000D_
Раскрывается организацией, выручка от регулируемых видов деятельности которой превышает 80 процентов совокупной выручки за отчетный год.</t>
  </si>
  <si>
    <t>Объём принятых твёрдых коммунальных отходов</t>
  </si>
  <si>
    <t>тыс. куб. м_x000D_
в год</t>
  </si>
  <si>
    <t>Указание объема принятых твёрдых коммунальных отходов необязательно при указании массы принятых твёрдых коммунальных отходов.</t>
  </si>
  <si>
    <t>Масса принятых твёрдых коммунальных отходов</t>
  </si>
  <si>
    <t>тонн в год</t>
  </si>
  <si>
    <t>Указание массы принятых твёрдых коммунальных отходов необязательно при указании объёма принятых твёрдых коммунальных отходов.</t>
  </si>
  <si>
    <t>Среднесписочная численность основного персонала</t>
  </si>
  <si>
    <t>Форма 6. Информация об основных показателях финансово-хозяйственной деятельности организации в отношении деятельности по транспортированию твердых коммунальных отходов за отчетный год</t>
  </si>
  <si>
    <t>Выручка от деятельности</t>
  </si>
  <si>
    <t>Указывается выручка от деятельности</t>
  </si>
  <si>
    <t>Себестоимость оказываемых услуг по регулируемому виду деятельности, включая:</t>
  </si>
  <si>
    <t>Указывается суммарная себестоимость</t>
  </si>
  <si>
    <t>расходы на оплату труда и страховые взносы на обязательное социальное страхование, выплачиваемые из фонда оплаты труда</t>
  </si>
  <si>
    <t>Указывается общая сумма расходов на оплату труда и страховых взносов</t>
  </si>
  <si>
    <t xml:space="preserve">расходы на оплату труда </t>
  </si>
  <si>
    <t xml:space="preserve">страховые взносы на обязательное социальное страхование, выплачиваемые из фонда оплаты труда </t>
  </si>
  <si>
    <t>расходы на топливо и горюче-смазочные материалы для транспортных средств, используемых для транспортирования твёрдых коммунальных отходов</t>
  </si>
  <si>
    <t>расходы на сырье и материалы для текущего технического обслуживания транспортных средств, используемых для транспортирования твёрдых коммунальных отходов</t>
  </si>
  <si>
    <t>ремонтные расходы и расходы на техническое обслуживание в отношении транспортных средств, используемых для транспортирования твёрдых коммунальных отходов (за исключением расходов, указанных в пункте 2.3 данной формы)</t>
  </si>
  <si>
    <t>расходы на амортизацию транспортных средств, используемых для транспортирования твёрдых коммунальных отходов</t>
  </si>
  <si>
    <t>расходы на арендную плату и лизинговые платежи в отношении транспортных средств, используемых для транспортирования твёрдых коммунальных отходов</t>
  </si>
  <si>
    <t>административные расходы (за исключением расходов, предусмотренных пунктами 2.1 и 2.8 данной формы)</t>
  </si>
  <si>
    <t>расходы, связанные с оплатой налогов, сборов и других обязательных платежей (в том числе с обязательным страхованием гражданской ответственности владельцев транспортных средств, оснащением и обеспечением функционирования аппаратуры спутниковой навигации ГЛОНАСС или ГЛОНАСС/GPS)</t>
  </si>
  <si>
    <t>прочие расходы</t>
  </si>
  <si>
    <t>Чистая прибыль в отношении деятельности по транспортированию твёрдых коммунальных отходов</t>
  </si>
  <si>
    <t>Изменение стоимости основных фондов (транспортных средств, используемых для транспортирования твёрдых коммунальных отходов), в том числе:</t>
  </si>
  <si>
    <t>Указывается общее изменение стоимости основных фондов за счет их ввода в эксплуатацию (вывода из эксплуатации), переоценки.</t>
  </si>
  <si>
    <t>Указывается изменение стоимости основных фондов за счет их ввода в эксплуатацию.</t>
  </si>
  <si>
    <t>4.2</t>
  </si>
  <si>
    <t>изменение стоимости основных фондов за счет их вывода из эксплуатации</t>
  </si>
  <si>
    <t>Указывается изменение стоимости основных фондов за счет их вывода из эксплуатации.</t>
  </si>
  <si>
    <t>4.3</t>
  </si>
  <si>
    <t>Указывается изменение стоимости основных фондов за счет их переоценки.</t>
  </si>
  <si>
    <t>Указывается ссылка на документ, предварительно загруженный в хранилище файлов ФГИС ЕИАС._x000D_
Раскрывается организацией, выручка от деятельности по транспортированию твёрдых коммунальных отходов которой превышает 80 процентов совокупной выручки за отчетный год.</t>
  </si>
  <si>
    <t>Объём принятых для транспортирования твёрдых коммунальных отходов</t>
  </si>
  <si>
    <t>Масса принятых для транспортирования твёрдых коммунальных отходов</t>
  </si>
  <si>
    <t>&lt;1&gt;</t>
  </si>
  <si>
    <t>В 2023 году операторы по обращению с твёрдыми коммунальными отходами, осуществляющие деятельность по транспортированию твёрдых коммунальных отходов, раскрывают в данной форме информацию, сформированную на дату раскрытия информации.</t>
  </si>
  <si>
    <t>В случае, если оператор по обращению с твёрдыми коммунальными отходами, осуществляющий деятельность по транспортированию твёрдых коммунальных отходов, обеспечивает транспортирование твёрдых коммунальных отходов в разных зонах деятельности регионального оператора, на разных территориях в пределах одной зоны деятельности регионального оператора, то информация раскрывается по каждой зоне деятельности регионального оператора, по каждой территории в пределах зоны деятельности регионального оператора.</t>
  </si>
  <si>
    <t>Информация, подлежащая раскрытию</t>
  </si>
  <si>
    <t>HEAT</t>
  </si>
  <si>
    <t>Количество аварий на тепловых сетях</t>
  </si>
  <si>
    <t>ед. на км</t>
  </si>
  <si>
    <t>Указывается количество любых нарушений на тепловых сетях в расчете на один километр трубопровода.</t>
  </si>
  <si>
    <t>Количество аварий на источниках тепловой энергии</t>
  </si>
  <si>
    <t>ед. на источник</t>
  </si>
  <si>
    <t>Указывается количество любых нарушений на источниках тепловой энергии</t>
  </si>
  <si>
    <t>Сведения о несоблюдении значений параметров качества теплоснабжения и (или) параметров, отражающих допустимые перерывы в теплоснабжении</t>
  </si>
  <si>
    <t>Информация в данной строке раскрывается только единой теплоснабжающей организацией в ценовых зонах теплоснабжения (обобщенная информация о количестве составленных актов, подтверждающих факт превышения разрешенных отклонений значений параметров, о средней продолжительности устранения превышения разрешенных отклонений значений параметров, о совокупной величине снижения размера платы за тепловую энергию (мощность) потребителям в связи с превышением разрешенных отклонений значений параметров)</t>
  </si>
  <si>
    <t>количество составленных актов, подтверждающих факт превышения разрешенных отклонений значений параметров</t>
  </si>
  <si>
    <t>шт.</t>
  </si>
  <si>
    <t>средняя продолжительность устранения превышения разрешенных отклонений значений параметров</t>
  </si>
  <si>
    <t>дн.</t>
  </si>
  <si>
    <t>совокупная величина снижения размера платы за тепловую энергию (мощность) потребителям в связи с превышением разрешенных отклонений значений параметров</t>
  </si>
  <si>
    <t>Показатели надежности и энергетической эффективности, установленные в соответствии с законодательством Российской Федерации</t>
  </si>
  <si>
    <t>В колонке «Ссылка на документ» указывается материал в виде ссылки на документ, содержащий информацию об установленных показателях, предварительно загруженный в хранилище данных ФГИС ЕИАС._x000D_
В случае, если показатели не утверждены в колонке «Информация» указывается «Не утверждены»._x000D_
Информация в данной строке не раскрывается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t>
  </si>
  <si>
    <t>Плановые показатели надежности объектов теплоснабжения</t>
  </si>
  <si>
    <t>количество прекращений подачи тепловой энергии, теплоносителя в результате технологических нарушений на тепловых сетях на 1 км тепловых сетей</t>
  </si>
  <si>
    <t>ед.в год/км</t>
  </si>
  <si>
    <t>количество прекращений подачи тепловой энергии, теплоносителя в результате технологических нарушений на источниках тепловой энергии на 1 Гкал/час установленной мощности</t>
  </si>
  <si>
    <t xml:space="preserve"> ед.в год/Гкал/час</t>
  </si>
  <si>
    <t xml:space="preserve">Плановые показатели энергетической эффективности объектов теплоснабжения </t>
  </si>
  <si>
    <t>4.2.1</t>
  </si>
  <si>
    <t>удельный расход топлива на производство единицы тепловой энергии, отпускаемой с коллекторов источников тепловой энергии</t>
  </si>
  <si>
    <t>т.у.т./Гкал</t>
  </si>
  <si>
    <t>4.2.2</t>
  </si>
  <si>
    <t>отношение величины технологических потерь к материальной характеристике тепловой сети</t>
  </si>
  <si>
    <t>4.2.1.1</t>
  </si>
  <si>
    <t>при передаче тепловой энергии</t>
  </si>
  <si>
    <t>Гкал/кв.м</t>
  </si>
  <si>
    <t>4.2.1.2</t>
  </si>
  <si>
    <t>при передаче теплоносителя</t>
  </si>
  <si>
    <t>тонн/кв.м</t>
  </si>
  <si>
    <t>4.2.3</t>
  </si>
  <si>
    <t>величина технологических потерь</t>
  </si>
  <si>
    <t>4.2.3.1</t>
  </si>
  <si>
    <t>Гкал/год</t>
  </si>
  <si>
    <t>4.2.3.2</t>
  </si>
  <si>
    <t>при передаче теплоносителя по тепловым сетям</t>
  </si>
  <si>
    <t>тонн/год</t>
  </si>
  <si>
    <t>Доля исполненных в срок договоров о подключении (технологическом присоединении) к системе теплоснабжения</t>
  </si>
  <si>
    <t>Указывается процент от общего количества заключенных договоров о подключении (технологическом присоединении) к системе теплоснабжения._x000D_
_x000D_
Единой теплоснабжающей организацией указывается доля числа исполненных в срок договоров о подключении (технологическом присоединении) к системе теплоснабжения в зоне ее деятельности в ценовых зонах теплоснабжения (процентов общего количества заключенных договоров о подключении (технологическом присоединении) к системе теплоснабжения._x000D_
Информация в данной строке не раскрывается теплоснабжающей организацией в ценовых зонах теплоснабжения и теплосетевой организацией в ценовых зонах теплоснабжения</t>
  </si>
  <si>
    <t>Средняя продолжительность рассмотрения заявок на заключение договоров о подключении (технологическом присоединении) к системе теплоснабжения</t>
  </si>
  <si>
    <t>Единой теплоснабжающей организацией информация раскрывается в зоне ее деятельности в ценовых зонах теплоснабжения_x000D_
Информация в данной строке не раскрывается теплоснабжающей организацией в ценовых зонах теплоснабжения и теплосетевой организацией в ценовых зонах теплоснабжения.</t>
  </si>
  <si>
    <t xml:space="preserve">Едиными теплоснабжающими организациями, теплоснабжающими и теплосетевыми организациями в ценовых зонах теплоснабжения указывается информация об основных потребительских </t>
  </si>
  <si>
    <t>характеристиках товаров и услуг, поставляемых и оказываемых этими организациями в ценовых зонах теплоснабжения.</t>
  </si>
  <si>
    <t>COLDVSNA</t>
  </si>
  <si>
    <t>Количество аварий на системах холодного водоснабжения</t>
  </si>
  <si>
    <t>Указывается количество любых нарушений функционирования системы холодного водоснабжения в расчете на один километр трубопровода.</t>
  </si>
  <si>
    <t>Количество случаев временного ограничения холодного водоснабжения по графику</t>
  </si>
  <si>
    <t>количество случаев ограничения холодного водоснабжения по графику для ограничений сроком менее 24 часов в сутки</t>
  </si>
  <si>
    <t>ед.</t>
  </si>
  <si>
    <t>Указывается суммарное количество ограничения холодного водоснабжения по графику в течение отчетного периода. В расчет принимаются ограничения сроком менее 24 часов каждое.</t>
  </si>
  <si>
    <t>срок действия ограничений холодного водоснабжения по графику для ограничений сроком менее 24 часов в сутки</t>
  </si>
  <si>
    <t>ч</t>
  </si>
  <si>
    <t>Указывается сумма времени ограничения холодного водоснабжения по графику в течение отчетного периода. В расчет принимаются ограничения сроком менее 24 часов каждое.</t>
  </si>
  <si>
    <t>Доля потребителей, в отношении которых ограничено холодное водоснабжение:</t>
  </si>
  <si>
    <t>доля потребителей, в отношении которых ограничено холодное водоснабжение сроком менее 24 часов в сутки</t>
  </si>
  <si>
    <t>Указывается отношение количества потребителей, затронутых как минимум одним ограничением подачи холодной воды по графику длительностью менее 24 часа в течение отчетного периода, и суммарного количества обслуживаемых потребителей.</t>
  </si>
  <si>
    <t>доля потребителей, в отношении которых ограничено холодное водоснабжение сроком 24 часа в сутки и более</t>
  </si>
  <si>
    <t>Указывается отношение количества потребителей, затронутых как минимум одним ограничением подачи холодной воды по графику длительностью 24 часа и более в течение отчетного периода, и суммарного количества обслуживаемых потребителей.</t>
  </si>
  <si>
    <t>Общее количество отобранных проб питьевой воды по следующим показателям</t>
  </si>
  <si>
    <t>мутность</t>
  </si>
  <si>
    <t>цветность</t>
  </si>
  <si>
    <t>хлор остаточный общий, в том числе:</t>
  </si>
  <si>
    <t>4.3.1</t>
  </si>
  <si>
    <t>хлор остаточный связанный</t>
  </si>
  <si>
    <t>4.3.2</t>
  </si>
  <si>
    <t>хлор остаточный свободный</t>
  </si>
  <si>
    <t>4.4</t>
  </si>
  <si>
    <t>общие колиформные бактерии</t>
  </si>
  <si>
    <t>4.5</t>
  </si>
  <si>
    <t>термотолерантные колиформные бактерии</t>
  </si>
  <si>
    <t>Количество отобранных проб питьевой воды, показатели которых не соответствуют нормативам качества питьевой воды в соответствии с санитарно-эпидемиологическими требованиями к питьевой воде (предельно допустимой концентрации в воде) по следующим показателям:</t>
  </si>
  <si>
    <t>5.2</t>
  </si>
  <si>
    <t>5.3</t>
  </si>
  <si>
    <t>5.3.1</t>
  </si>
  <si>
    <t>5.3.2</t>
  </si>
  <si>
    <t>5.4</t>
  </si>
  <si>
    <t>5.5</t>
  </si>
  <si>
    <t>Доля исполненных в срок договоров о подключении (технологическом присоединении) к централизованной системе холодного водоснабжения</t>
  </si>
  <si>
    <t>Указывается процент общего количества заключенных договоров о подключении (технологическом присоединении) к централизованной системе холодного водоснабжения.</t>
  </si>
  <si>
    <t>Средняя продолжительность рассмотрения заявлений о заключении договоров о подключении (технологическом присоединении) к централизованной системе холодного водоснабжения</t>
  </si>
  <si>
    <t>О результатах технического обследования централизованных систем холодного водоснабжения, в том числе:</t>
  </si>
  <si>
    <t>8.1</t>
  </si>
  <si>
    <t>о фактических значениях показателей технико-экономического состояния централизованных систем холодного водоснабжения, включая значения показателей физического износа и энергетической эффективности объектов централизованных систем холодного водоснабжения.</t>
  </si>
  <si>
    <t>HOTVSNA</t>
  </si>
  <si>
    <t>Количество аварий на системах горячего водоснабжения</t>
  </si>
  <si>
    <t>Указывается количество нарушений функционирования системы горячего водоснабжения в расчете на один километр трубопровода.</t>
  </si>
  <si>
    <t>Количество часов (суммарно за календарный год), превышающих установленную продолжительность временного прекращения или ограничения горячего водоснабжения, и доля потребителей (процентов), в отношении которых было осуществлено временное прекращение или ограничение горячего водоснабжения</t>
  </si>
  <si>
    <t>количество часов (суммарно за календарный год), превышающих установленную продолжительность временного прекращения горячего водоснабжения</t>
  </si>
  <si>
    <t>количество часов (суммарно за календарный год), превышающих установленную продолжительность ограничения горячего водоснабжения</t>
  </si>
  <si>
    <t>доля потребителей, в отношении которых было осуществлено временное прекращение горячего водоснабжения</t>
  </si>
  <si>
    <t>доля потребителей, в отношении которых было осуществлено ограничение горячего водоснабжения</t>
  </si>
  <si>
    <t>Количество часов (суммарно за календарный год) отклонения показателей температуры подачи горячей воды от нормативных значений в точке разбора</t>
  </si>
  <si>
    <t>Доля исполненных в срок договоров о подключении (технологическом присоединении) к централизованной системе горячего водоснабжения (процентов общего количества заключенных договоров о подключении (технологическом присоединении) к централизованной системе горячего водоснабжения)</t>
  </si>
  <si>
    <t>Средняя продолжительность рассмотрения заявлений о заключении договоров о подключении (технологическом присоединении) к централизованной системе горячего водоснабжения</t>
  </si>
  <si>
    <t>О результатах технического обследования централизованных систем горячего водоснабжения, в том числе:</t>
  </si>
  <si>
    <t>о фактических значениях показателей технико-экономического состояния централизованных систем горячего водоснабжения, включая значения показателей физического износа и энергетической эффективности объектов централизованных систем горячего водоснабжения</t>
  </si>
  <si>
    <t>VOTV</t>
  </si>
  <si>
    <t>Показатели аварийности на канализационных сетях</t>
  </si>
  <si>
    <t>Указывается количество любых нарушений на канализационных сетях.</t>
  </si>
  <si>
    <t>Количество засоров на самотечных сетях</t>
  </si>
  <si>
    <t>Указывается количество засоров на самотечных сетях.</t>
  </si>
  <si>
    <t>Общее количество отобранных проб на сбросе очищенных (частично очищенных) сточных вод:</t>
  </si>
  <si>
    <t>Указывается суммарное количество проведенных проб на сбросе очищенных вод.</t>
  </si>
  <si>
    <t>взвешенные вещества</t>
  </si>
  <si>
    <t>БПК5</t>
  </si>
  <si>
    <t>аммоний-ион</t>
  </si>
  <si>
    <t>нитрит-анион</t>
  </si>
  <si>
    <t>3.5</t>
  </si>
  <si>
    <t>фосфаты (по Р)</t>
  </si>
  <si>
    <t>3.6</t>
  </si>
  <si>
    <t>нефтепродукты</t>
  </si>
  <si>
    <t>3.7</t>
  </si>
  <si>
    <t>микробиология</t>
  </si>
  <si>
    <t>Количество отобранных проб, показатели которых не соответствуют установленным нормативам состава сточных вод (предельно допустимой концентрации веществ и микроорганизмов) на сбросе очищенных (частично очищенных) сточных вод:</t>
  </si>
  <si>
    <t>Указывается суммарное количество отобранных проб, выявивших несоответствие очищенных сточных вод санитарным нормам (предельно допустимой концентрации) на сбросе очищенных (частично очищенных) сточных вод.</t>
  </si>
  <si>
    <t>4.6</t>
  </si>
  <si>
    <t>4.7</t>
  </si>
  <si>
    <t>Доля исполненных в срок договоров о подключении (технологическом присоединении) к централизованной системе водоотведения</t>
  </si>
  <si>
    <t>Указывается процент от общего количества заключенных договоров о подключении (технологическом присоединении) к централизованной системе водоотведения</t>
  </si>
  <si>
    <t>Средняя продолжительность рассмотрения заявлений о заключении договоров о подключении (технологическом присоединении) к централизованной системе водоотведения</t>
  </si>
  <si>
    <t>О результатах технического обследования централизованных систем водоотведения, в том числе:</t>
  </si>
  <si>
    <t>7.1</t>
  </si>
  <si>
    <t>о фактических значениях показателей технико-экономического состояния централизованных систем водоотведения, включая значения показателей физического износа и энергетической эффективности объектов централизованных систем водоотведения</t>
  </si>
  <si>
    <t>О  нормативах допустимых сбросов загрязняющих веществ в составе сточных вод в водные объекты, установленных для объектов централизованных систем водоотведения, эксплуатируемых организацией водоотведения, в соответствии с законодательством Российской Федерации об охране окружающей среды (о лимитах на сбросы загрязняющих веществ, установленных для объектов централизованных систем водоотведения, эксплуатируемых организацией водоотведения, в соответствии с законодательством Российской Федерации об охране окружающей среды</t>
  </si>
  <si>
    <t>О показателях эффективности удаления загрязняющих веществ очистными сооружениями регулируемых организаций</t>
  </si>
  <si>
    <t>Наименование выведенного источника тепловой энергии</t>
  </si>
  <si>
    <t>В случае вывода из эксплуатации нескольких источников тепловой энергии информация по каждому из них указывается в отдельно.</t>
  </si>
  <si>
    <t>Дата вывода</t>
  </si>
  <si>
    <t>Дата вывода указывается в виде «ДД.ММ.ГГГГ».</t>
  </si>
  <si>
    <t>Наименование тепловой сети</t>
  </si>
  <si>
    <t>В случае вывода из эксплуатации нескольких тепловых сетей информация по каждой из них указывается в отдельно.</t>
  </si>
  <si>
    <t>Описание ограничения подачи тепловой энергии потребителям</t>
  </si>
  <si>
    <t>Дата начала ограничения</t>
  </si>
  <si>
    <t>Дата начала ограничения указывается в виде «ДД.ММ.ГГГГ».</t>
  </si>
  <si>
    <t>Дата завершения ограничения</t>
  </si>
  <si>
    <t>Дата завершения ограничения указывается в виде «ДД.ММ.ГГГГ».</t>
  </si>
  <si>
    <t>Описание прекращения режима потребления</t>
  </si>
  <si>
    <t>В колонке «Ссылка на документ» указывается материал в виде ссылки на документ, обосновывающий прекращение подачи тепловой энергии потребителям, предварительно загруженный в хранилище данных ФГИС ЕИАС.</t>
  </si>
  <si>
    <t>Дата прекращения</t>
  </si>
  <si>
    <t>Дата прекращения указывается в виде «ДД.ММ.ГГГГ».</t>
  </si>
  <si>
    <t>1.0</t>
  </si>
  <si>
    <t>Сведения о выводе источников тепловой энергии из эксплуатации</t>
  </si>
  <si>
    <t>Сведения о выводе тепловых сетей из эксплуатации</t>
  </si>
  <si>
    <t>Добавить тепловую сеть</t>
  </si>
  <si>
    <t>3.0</t>
  </si>
  <si>
    <t>Сведения об основаниях ограничения подачи тепловой энергии</t>
  </si>
  <si>
    <t>Осуществлялось</t>
  </si>
  <si>
    <t>Не осуществлялось</t>
  </si>
  <si>
    <t>В случае, если ограничения подачи тепловой энергии тепловой энергии не происходили, в колонке «Информация» указывается «Не осуществлялось»._x000D_
Указывается информация о случаях ограничения подачи тепловой энергии потребителям в случаях, предусмотренных законодательством в сфере теплоснабжения._x000D_
В неоднократных ограничений подачи потребления тепловой энергии потребителями информация по каждому случаю указывается отдельно.</t>
  </si>
  <si>
    <t>Добавить ограничение подачи ТЭ</t>
  </si>
  <si>
    <t>4.0</t>
  </si>
  <si>
    <t>Сведения об основаниях прекращения подачи тепловой энергии потребителям</t>
  </si>
  <si>
    <t>В случае, если прекращения подачи тепловой энергии потребителям не происходили, в колонке «Информация» указывается «Не осуществлялось»._x000D_
Указывается информация о случаях прекращения подачи тепловой энергии потребителям, предусмотренных законодательством в сфере теплоснабжения._x000D_
В случае нескольких прекращений подачи тепловой энергии потребителям информация по каждому случаю указывается отдельно.</t>
  </si>
  <si>
    <t>Добавить прекращение подачи ТЭ</t>
  </si>
  <si>
    <t>Наименование ИП</t>
  </si>
  <si>
    <t>Инвестиционная программа разбивается по мероприятиям и (или) группам мероприятий</t>
  </si>
  <si>
    <t>Дата утверждения инвестиционной программы</t>
  </si>
  <si>
    <t>Дата изменения инвестиционной программы</t>
  </si>
  <si>
    <t>Цель инвестиционной программы</t>
  </si>
  <si>
    <t>Наименование исполнительного органа субъекта Российской Федерации (органа местного самоуправления), утвердившего инвестиционную программу</t>
  </si>
  <si>
    <t>Наименование органа местного самоуправления, согласовавшего инвестиционную программу</t>
  </si>
  <si>
    <t>Период реализации инвестиционной программы</t>
  </si>
  <si>
    <t>Решение уполномоченного органа об утверждении инвестиционной программы</t>
  </si>
  <si>
    <t>Решение уполномоченного органа о внесении изменений, корректировке инвестиционной программы</t>
  </si>
  <si>
    <t>О наличии в инвестиционной программе мероприятий, включенных в концессионное(-ые) соглашение(-я)</t>
  </si>
  <si>
    <t>Дата начала</t>
  </si>
  <si>
    <t>Дата окончания</t>
  </si>
  <si>
    <t>Период реализации</t>
  </si>
  <si>
    <t>Вид</t>
  </si>
  <si>
    <t>Номер</t>
  </si>
  <si>
    <t>Дата принятия</t>
  </si>
  <si>
    <t>Тип</t>
  </si>
  <si>
    <t>Наличие</t>
  </si>
  <si>
    <t>Реквизиты концессионного(-ых) соглашения(-ий)</t>
  </si>
  <si>
    <t>ip_1</t>
  </si>
  <si>
    <t>Добавить инвестиционную программу</t>
  </si>
  <si>
    <t>Год реализации инвестиционной программы</t>
  </si>
  <si>
    <t>№ п/п_x000D_
мероприятия</t>
  </si>
  <si>
    <t>Группа, к которой относятся мероприятия инвестиционной программы</t>
  </si>
  <si>
    <t>Мероприятие</t>
  </si>
  <si>
    <t>№ источника</t>
  </si>
  <si>
    <t>О плановых и фактических размерах и источниках финансирования предусмотренных в утвержденной инвестиционной программе с распределением по годам</t>
  </si>
  <si>
    <t>Плановый срок реализации мероприятия и (или) группы мероприятий с распределением по годам</t>
  </si>
  <si>
    <t>Плановый срок ввода в эксплуатацию/выполнения мероприятия и (или) группы мероприятий</t>
  </si>
  <si>
    <t>Фактический срок реализации мероприятия и (или) группы мероприятий с распределением по годам</t>
  </si>
  <si>
    <t>Фактический срок ввода в эксплуатацию/выполнения мероприятия и (или) группы мероприятий</t>
  </si>
  <si>
    <t>Наименование мероприятия</t>
  </si>
  <si>
    <t>Входит в концессионное соглашение</t>
  </si>
  <si>
    <t>Объект инфраструктуры</t>
  </si>
  <si>
    <t>Признак</t>
  </si>
  <si>
    <t>Номер концессионного соглашения</t>
  </si>
  <si>
    <t>№ объекта</t>
  </si>
  <si>
    <t>Наименование объекта</t>
  </si>
  <si>
    <t>Тип объекта</t>
  </si>
  <si>
    <t>Адрес объекта</t>
  </si>
  <si>
    <t>План</t>
  </si>
  <si>
    <t>Факт</t>
  </si>
  <si>
    <t>в том числе</t>
  </si>
  <si>
    <t>Населенный пункт</t>
  </si>
  <si>
    <t>улица, проезд, проспект, переулок, и т.п.</t>
  </si>
  <si>
    <t>дом, корпус, строение</t>
  </si>
  <si>
    <t>Источник финансирования</t>
  </si>
  <si>
    <t>Размер финансирования</t>
  </si>
  <si>
    <t>месяц</t>
  </si>
  <si>
    <t>год</t>
  </si>
  <si>
    <r>
      <rPr>
        <charset val="204"/>
        <family val="2"/>
        <rFont val="Tahoma"/>
        <sz val="9"/>
        <vertAlign val="superscript"/>
      </rPr>
      <t>1</t>
    </r>
    <r>
      <rPr>
        <charset val="204"/>
        <family val="2"/>
        <rFont val="Tahoma"/>
        <sz val="9"/>
      </rPr>
      <t xml:space="preserve"> В соответствии с утвержденной инвестиционной программой</t>
    </r>
  </si>
  <si>
    <t>Источники финансирования</t>
  </si>
  <si>
    <t>Объем фактического выполнения за счет источников финансирования (тыс. руб. без НДС)</t>
  </si>
  <si>
    <t>Всего</t>
  </si>
  <si>
    <t>I</t>
  </si>
  <si>
    <t>Расходы на мероприятия инвестиционной программы</t>
  </si>
  <si>
    <t>Собственные средства</t>
  </si>
  <si>
    <t>1.1</t>
  </si>
  <si>
    <t>Амортизационные отчисления за исключением переоценки основных средств и нематериальных активов</t>
  </si>
  <si>
    <t>1.2</t>
  </si>
  <si>
    <t>Амортизационные отчисления в результате переоценки основных средств и нематериальных активов</t>
  </si>
  <si>
    <t>1.3</t>
  </si>
  <si>
    <t>Капитальные вложения (инвестиции), финансируемые за счет нормативной прибыли, учитываемой в необходимой валовой выручке</t>
  </si>
  <si>
    <t>1.4</t>
  </si>
  <si>
    <t>Экономия расходов, достигнутая регулируемой организацией в результате реализации мероприятий инвестиционной программы за счет амортизационных отчислений</t>
  </si>
  <si>
    <t>1.5</t>
  </si>
  <si>
    <t>Экономия расходов, достигнутая регулируемой организацией в результате реализации мероприятий инвестиционной программы за счет капитальных вложений в составе нормативной прибыли</t>
  </si>
  <si>
    <t>1.6</t>
  </si>
  <si>
    <t>Экономия расходов, достигнутая регулируемой организацией в результате реализации мероприятий инвестиционной программы за счет прочих собственных средств</t>
  </si>
  <si>
    <t>1.7</t>
  </si>
  <si>
    <t>Экономия расходов, достигнутая регулируемой организацией в результате реализации мероприятий инвестиционной программы за счет за счет займов и кредитов</t>
  </si>
  <si>
    <t>1.8</t>
  </si>
  <si>
    <t>Экономия средств, достигнутая регулируемой организацией в результате снижения расходов</t>
  </si>
  <si>
    <t>1.9</t>
  </si>
  <si>
    <t>Средства, полученные за счет платы за подключение (технологическое присоединение)</t>
  </si>
  <si>
    <t>1.10</t>
  </si>
  <si>
    <t>Средства, полученные регулируемой организацией в виде платы за сброс загрязняющих веществ сверх установленных нормативов состава сточных вод</t>
  </si>
  <si>
    <t>1.11</t>
  </si>
  <si>
    <t>Средства, полученные регулируемой организацией в виде платы за негативное воздействие на работу централизованной системы водоотведения</t>
  </si>
  <si>
    <t>1.12</t>
  </si>
  <si>
    <t>Прочие собственные средства</t>
  </si>
  <si>
    <t>Привлеченные средства</t>
  </si>
  <si>
    <t>Займы</t>
  </si>
  <si>
    <t>Кредиты</t>
  </si>
  <si>
    <t>Прочие привлеченные средства</t>
  </si>
  <si>
    <t>Бюджетное финансирование</t>
  </si>
  <si>
    <t>Плата концедента на строительство, модернизацию и (или) реконструкцию объекта концессионного соглашения в размере, предусмотренном заключенным концессионным соглашением</t>
  </si>
  <si>
    <t>Иные бюджетные средства.</t>
  </si>
  <si>
    <t>Прочие источники финансирования</t>
  </si>
  <si>
    <t>ИТОГО по программе</t>
  </si>
  <si>
    <t>II</t>
  </si>
  <si>
    <t>Средства на возврат займов и кредитов, привлекаемых на реализацию мероприятий инвестиционной программы, а также на проценты по таким займам и кредитам*</t>
  </si>
  <si>
    <t>Cредства на возврат займов и кредитов, привлекаемых на реализацию мероприятий инвестиционной программ</t>
  </si>
  <si>
    <t>1.1.1</t>
  </si>
  <si>
    <t>Финансируемые за счет нормативной прибыли, учитываемой в необходимой валовой выручке</t>
  </si>
  <si>
    <t>1.1.2</t>
  </si>
  <si>
    <t>Амортизационные отчисления</t>
  </si>
  <si>
    <t>1.1.3</t>
  </si>
  <si>
    <t>Иные собственные средства</t>
  </si>
  <si>
    <t>1.1.4</t>
  </si>
  <si>
    <t>Средства, полученные регулируемой организацией в виде платы за негативное воздействие абонентов на работу централизованной системы водоотведения</t>
  </si>
  <si>
    <t>1.2.1</t>
  </si>
  <si>
    <t>1.2.2</t>
  </si>
  <si>
    <t xml:space="preserve">Прочие источники </t>
  </si>
  <si>
    <t>Cредства на проценты по займам и кредитам, привлекаемым на реализацию мероприятий инвестиционной программ</t>
  </si>
  <si>
    <t>2.1.3</t>
  </si>
  <si>
    <t>2.1.4</t>
  </si>
  <si>
    <t>WARM FEATURES</t>
  </si>
  <si>
    <t>OTKO FEATURES</t>
  </si>
  <si>
    <t>Цель(-и) ИП</t>
  </si>
  <si>
    <t>Способ утверждения показателей</t>
  </si>
  <si>
    <t>Описание способа утверждения показателей</t>
  </si>
  <si>
    <t>Показатели качества, надежности и бесперебойности, энергетической эффективности</t>
  </si>
  <si>
    <t>Показатели надежности</t>
  </si>
  <si>
    <t xml:space="preserve">Показатели энергетической эффективности </t>
  </si>
  <si>
    <t>Показатели качества питьевой воды</t>
  </si>
  <si>
    <t>Показатели качества горячей воды</t>
  </si>
  <si>
    <t>Показатели надежности и бесперебойности</t>
  </si>
  <si>
    <t>Показатели энергетической эффективности</t>
  </si>
  <si>
    <t>Показатели очистки сточных вод</t>
  </si>
  <si>
    <t>Показатель надежности и бесперебойности</t>
  </si>
  <si>
    <t>Количество прекращений подачи тепловой энергии, теплоносителя в результате технологических нарушений</t>
  </si>
  <si>
    <t>удельный расход топлива на производство единицы тепловой энергии</t>
  </si>
  <si>
    <t>Отношение величины технологических потерь к материальной характеристике тепловой сети</t>
  </si>
  <si>
    <t>Величина технологических потерь</t>
  </si>
  <si>
    <t>Доля проб питьевой воды, подаваемой с источников водоснабжения, водопроводных станций или иных объектов централизованной системы водоснабжения в распределительную водопроводную сеть, не соответствующих установленным требованиям, в общем объёме проб, отобранных по результатам производственного контроля качества питьевой воды</t>
  </si>
  <si>
    <t>Доля проб питьевой воды в распределительной водопроводной сети, не соответствующих установленным требованиям, в общем объёме проб, отобранных по результатам производственного контроля качества питьевой воды</t>
  </si>
  <si>
    <t>Доля проб горячей воды в тепловой сети или в сети горячего водоснабжения, не соответствующих установленным требованиям по температуре, в общем объёме проб, отобранных по результатам производственного контроля качества горячей воды</t>
  </si>
  <si>
    <t>Доля проб горячей воды в тепловой сети или в сети горячего водоснабжения, не соответствующих установленным требованиям (за исключением температуры), в общем объёме проб, отобранных по результатам производственного контроля качества горячей воды</t>
  </si>
  <si>
    <t xml:space="preserve"> Количество перерывов в подаче воды, зафиксированных в местах исполнения обязательств организацией, осуществляющей горячее водоснабжение, холодное водоснабжение, по подаче горячей воды, холодной воды, возникших в результате аварий, повреждений и иных технологических нарушений на объектах централизованной системы холодного водоснабжения, горячего водоснабжения, принадлежащих организации, осуществляющей горячее водоснабжение, холодное водоснабжение, в расчете на протяженность водопроводной сети</t>
  </si>
  <si>
    <t>Доля потерь воды в централизованных системах водоснабжения при транспортировке в общем объёме воды, поданной в водопроводную сеть</t>
  </si>
  <si>
    <t>Удельное количество тепловой энергии, расходуемое на подогрев горячей воды</t>
  </si>
  <si>
    <t>Удельный расход электрической энергии, потребляемой в технологическом процессе</t>
  </si>
  <si>
    <t>доля сточных вод, не подвергающихся очистке, в общем объёме сточных вод, сбрасываемых в централизованные общесплавные или бытовые системы водоотведения</t>
  </si>
  <si>
    <t xml:space="preserve"> доля поверхностных сточных вод, не подвергающихся очистке, в общем объёме поверхностных сточных вод, принимаемых в централизованную ливневую систему водоотведения</t>
  </si>
  <si>
    <t>доля проб сточных вод, не соответствующих установленным нормативам допустимых сбросов, лимитам на сбросы, рассчитанная применительно к видам централизованных систем водоотведения раздельно для централизованной общесплавной (бытовой) и централизованной ливневой систем водоотведения</t>
  </si>
  <si>
    <t>Удельное количество аварий и засоров в расчете на протяженность канализационной сети</t>
  </si>
  <si>
    <t>Удельный расход электрической энергии, потребляемой в технологическом процессе для:</t>
  </si>
  <si>
    <t>на тепловых сетях на 1 км тепловых сетей</t>
  </si>
  <si>
    <t>на источниках тепловой энергии на 1 Гкал/час установленной мощности</t>
  </si>
  <si>
    <t xml:space="preserve">подготовки питьевой воды, на единицу объёма воды, отпускаемой в сеть_x000D_
</t>
  </si>
  <si>
    <t xml:space="preserve">транспортировки питьевой воды, на единицу объёма транспортируемой воды_x000D_
</t>
  </si>
  <si>
    <t>очистки сточных вод, на единицу объёма очищаемых сточных вод</t>
  </si>
  <si>
    <t>транспортировки сточных вод, на единицу объёма транспортируемых сточных вод</t>
  </si>
  <si>
    <t>ед. в год/км</t>
  </si>
  <si>
    <t>Гкал/куб. м</t>
  </si>
  <si>
    <t>кВт*ч/куб. м</t>
  </si>
  <si>
    <t>кВт*ч/куб.м</t>
  </si>
  <si>
    <t>план</t>
  </si>
  <si>
    <t>факт</t>
  </si>
  <si>
    <t>ед</t>
  </si>
  <si>
    <t>5.0</t>
  </si>
  <si>
    <t>Добавить систему</t>
  </si>
  <si>
    <t>Добавить описание формы публичного договора</t>
  </si>
  <si>
    <t>Добавить описание договора</t>
  </si>
  <si>
    <t>сведения о договорах, заключенных в соответствии с частями 2.1 и 2.2 статьи 8 Федерального закона "О теплоснабжении"</t>
  </si>
  <si>
    <t>Статья 8 ФЗ 190-ФЗ_x000D_
2.1. Соглашением сторон договора теплоснабжения и (или) договора поставки тепловой энергии (мощности) и (или) теплоносителя, но не выше цен (тарифов) на соответствующие товары в сфере теплоснабжения, установленных органом регулирования в соответствии с основами ценообразования в сфере теплоснабжения и правилами регулирования цен (тарифов) в сфере теплоснабжения, утвержденными Правительством Российской Федерации, определяются следующие виды цен на товары в сфере теплоснабжения, за исключением тепловой энергии (мощности) и (или) теплоносителя, реализация которых необходима для оказания коммунальных услуг по отоплению и горячему водоснабжению населению и приравненным к нему категориям потребителей:_x000D_
1) цены на тепловую энергию (мощность), производимую и (или) поставляемую с использованием теплоносителя в виде пара теплоснабжающими организациями потребителям, другим теплоснабжающим организациям;_x000D_
2) цены на теплоноситель в виде пара, поставляемый теплоснабжающими организациями потребителям, другим теплоснабжающим организациям;_x000D_
3) цены на тепловую энергию (мощность), теплоноситель, поставляемые теплоснабжающей организацией, владеющей на праве собственности или ином законном основании источником тепловой энергии, потребителю, теплопотребляющие установки которого технологически соединены с этим источником тепловой энергии непосредственно или через тепловую сеть, принадлежащую на праве собственности и (или) ином законном основании указанной теплоснабжающей организации или указанному потребителю, если такие теплопотребляющие установки и такая тепловая сеть не имеют иного технологического соединения с системой теплоснабжения и к тепловым сетям указанного потребителя не присоединены теплопотребляющие установки иных потребителей._x000D_
(часть 2.1 введена Федеральным законом от 01.12.2014 № 404-ФЗ)_x000D_
2.2. С 1 января 2018 года цены, указанные в части 2.1 настоящей статьи, не подлежат регулированию и определяются соглашением сторон договора теплоснабжения и (или) договора поставки тепловой энергии (мощности) и (или) теплоносителя, за исключением случаев:_x000D_
1) реализации тепловой энергии (мощности) и (или) теплоносителя, необходимых для оказания коммунальных услуг по отоплению и горячему водоснабжению населению и приравненным к нему категориям потребителей;_x000D_
2) производства тепловой энергии (мощности), теплоносителя с использованием источника тепловой энергии, установленная мощность которого составляет менее десяти гигакалорий в час, и (или) осуществления поставки теплоснабжающей организацией потребителю тепловой энергии в объеме менее пятидесяти тысяч гигакалорий за 2017 год.</t>
  </si>
  <si>
    <t>Прочие договора</t>
  </si>
  <si>
    <t>Сведения об условиях договоров на оказание услуг по транспортированию твердых коммунальных отходов</t>
  </si>
  <si>
    <t xml:space="preserve"> Форма договора на оказание услуг</t>
  </si>
  <si>
    <t>Указывается форма договора, используемая организацией, в виде ссылки на документ, предварительно загруженный в хранилище файлов ФГИС ЕИАС, либо ссылка на официальный сайт в сети "Интернет", на котором размещена информация._x000D_
В случае наличия нескольких форм таких договоров информация по каждой из них указывается в отдельной строке.</t>
  </si>
  <si>
    <t>Добавить описание формы договора</t>
  </si>
  <si>
    <t>наименование НПА</t>
  </si>
  <si>
    <t>контактный телефон службы</t>
  </si>
  <si>
    <t>адрес службы</t>
  </si>
  <si>
    <t>график работы службы</t>
  </si>
  <si>
    <t>c 01:03 до 18:55</t>
  </si>
  <si>
    <t>Информация о размещении данных на сайте регулируемой организации</t>
  </si>
  <si>
    <t>дата размещения информации</t>
  </si>
  <si>
    <t>Дата размещения информации указывается в виде «ДД.ММ.ГГГГ».</t>
  </si>
  <si>
    <t>адрес страницы сайта в сети «Интернет» и ссылка на документ</t>
  </si>
  <si>
    <t>В колонке «Информация» указывается адрес страницы сайта в сети «Интернет», на которой размещена информация._x000D_
В колонке «Ссылка на документ» указывается ссылка на скриншот страницы сайта в сети «Интернет», предварительно загруженный в хранилище файлов ФГИС ЕИАС, на которой размещена информация.</t>
  </si>
  <si>
    <t xml:space="preserve">Указывается ссылка на документ, предварительно загруженный в хранилище файлов ФГИС ЕИАС._x000D_
В случае наличия дополнительных сведений информация по ним указывается в отдельных строках._x000D_
</t>
  </si>
  <si>
    <t>В колонке «Информация» указывается полное наименование и реквизиты НПА._x000D_
В случае наличия нескольких НПА каждое из них указывается в отдельной строке.</t>
  </si>
  <si>
    <t>5.1.1</t>
  </si>
  <si>
    <t>Указывается номер контактного телефона службы, ответственной за прием и обработку заявок о подключении к централизованной системе теплоснабжения. _x000D_
В случае наличия нескольких служб и (или) номеров телефонов, информация по каждому из них указывается в отдельной строке.</t>
  </si>
  <si>
    <t>5.2.1</t>
  </si>
  <si>
    <t>Указывается наименование субъекта Российской Федерации, муниципального района, города, иного населенного пункта, улицы, номер дома, при необходимости указывается корпус, строение, литера или дополнительная территория. Данные указываются согласно наименованиям адресных объектов в ФИАС._x000D_
В случае наличия нескольких служб и (или) адресов, информация по каждому из них указывается в отдельной строке.</t>
  </si>
  <si>
    <t>Указывается график работы службы, ответственной за прием и обработку заявок о подключении к централизованной системе теплоснабжения. _x000D_
В случае наличия нескольких служб и (или) графиков работы, информация по каждому из них указывается в отдельной строке.</t>
  </si>
  <si>
    <t>p1</t>
  </si>
  <si>
    <t>Добавить период</t>
  </si>
  <si>
    <t>p2</t>
  </si>
  <si>
    <t>Период действия тарифов</t>
  </si>
  <si>
    <t>с</t>
  </si>
  <si>
    <t>по</t>
  </si>
  <si>
    <t>p1_0</t>
  </si>
  <si>
    <t>Долгосрочные параметры регулирования указываются в случае выбора любого метода регулирования за исключением метода экономически обоснованных затрат в виде ссылки на документ, предварительно загруженный в хранилище файлов ФГИС ЕИАС.</t>
  </si>
  <si>
    <t>Необходимая валовая выручка на соответствующий период, в том числе с разбивкой по годам</t>
  </si>
  <si>
    <t>p2_0</t>
  </si>
  <si>
    <t>В колонке «Информация» указывается описательная информация, характеризующая размещаемые данные._x000D_
В колонке «Ссылка на документ» указывается либо ссылка на документ, предварительно загруженный в хранилище файлов ФГИС ЕИАС, либо ссылка на официальный сайт в сети «Интернет», на котором размещена информация.</t>
  </si>
  <si>
    <t>Форма 12. Информация об основных потребительских характеристиках товаров, услуг регулируемой организации, цены (тарифы) в сфере теплоснабжения на которые подлежат регулированию, об основных потребительских характеристиках товаров (услуг), поставляемых (оказываемых) единой теплоснабжающей организацией в ценовых зонах теплоснабжения, об основных потребительских характеристиках товаров (услуг), поставляемых (оказываемых) теплоснабжающей организацией в ценовых зонах теплоснабжения и теплосетевой организацией в ценовых зонах теплоснабжения</t>
  </si>
  <si>
    <t>Показатели надежности и качества, установленные в соответствии с законодательством Российской Федерации</t>
  </si>
  <si>
    <t>В колонке «Ссылка на документ» указывается материал в виде ссылки на документ, содержащий информацию об установленных показателях надежности и качества, предварительно загруженный в хранилище данных ФГИС ЕИАС._x000D_
В случае, если показатели надежности и качества не утверждены в колонке «Информация» указывается «Не утверждены»._x000D_
Информация в данной строке не указывается теплоснабжающими организациями, теплосетевыми организациями в ценовых зонах теплоснабжения.</t>
  </si>
  <si>
    <t>Информация в строках 3.1 – 3.3 указывается в случае, если организация имеет статус единой теплоснабжающей организации в ценовых зонах теплоснабжения.</t>
  </si>
  <si>
    <t>Доля числа исполненных в срок договоров о подключении</t>
  </si>
  <si>
    <t>Указывается процент общего количества заключенных договоров о подключении (технологическом присоединении)._x000D_
Информация в данной строке не указывается теплоснабжающими организациями, теплосетевыми организациями в ценовых зонах теплоснабжения.</t>
  </si>
  <si>
    <t>Средняя продолжительность рассмотрения заявлений о подключении</t>
  </si>
  <si>
    <t>Гкал/час</t>
  </si>
  <si>
    <t>Информация в данной строке не указывается теплоснабжающими организациями, теплосетевыми организациями в ценовых зонах теплоснабжения.</t>
  </si>
  <si>
    <t>REGION</t>
  </si>
  <si>
    <t>year_list1</t>
  </si>
  <si>
    <t>year_list</t>
  </si>
  <si>
    <t>logical</t>
  </si>
  <si>
    <t>Месяц_x000D_
(MONTH)</t>
  </si>
  <si>
    <t>Квартал_x000D_
(QUARTER)</t>
  </si>
  <si>
    <t>Месяц_x000D_
(kind_of_publication)</t>
  </si>
  <si>
    <t>НДС_x000D_
/kind_of_NDS/</t>
  </si>
  <si>
    <t>Номер СЦХВ(СЦВО)_x000D_
/SKI_number/</t>
  </si>
  <si>
    <t>Единица измерения объема оказываемых услуг ГВС_x000D_
/kind_of_unit_GVS/</t>
  </si>
  <si>
    <t>Метод регулирования_x000D_
/kind_of_control_method/</t>
  </si>
  <si>
    <t>Сколько раз встретилось</t>
  </si>
  <si>
    <t>Вид деятельности, на которую установлен тариф /kind_of_activity_WARM/</t>
  </si>
  <si>
    <t>Вид теплоносителя_x000D_
(kind_of_heat_transfer)</t>
  </si>
  <si>
    <t>Тип данных_x000D_
(kind_of_data_type)</t>
  </si>
  <si>
    <t>Схема подключения_x000D_
(kind_of_scheme_in)_x000D_
(kind_of_scheme_in2)</t>
  </si>
  <si>
    <t>Группы потребителей_x000D_
(kind_of_cons)</t>
  </si>
  <si>
    <t>Тип прокладки тепловых сетей_x000D_
(kind_of_nets)</t>
  </si>
  <si>
    <t>Диапазаны диаметров тепловых сетей_x000D_
(kind_of_diameters)</t>
  </si>
  <si>
    <t>Подключаемая тепловая нагрузка_x000D_
(kind_of_load)</t>
  </si>
  <si>
    <t>Форма 2, таблица Х</t>
  </si>
  <si>
    <t>виды тарифа_x000D_
/kind_group_rates/</t>
  </si>
  <si>
    <t>Заголовок таблицы</t>
  </si>
  <si>
    <t>name_rates_4</t>
  </si>
  <si>
    <t>name_rates_8</t>
  </si>
  <si>
    <t>Подключаемая тепловая нагрузка_x000D_
(kind_of_load3)</t>
  </si>
  <si>
    <t>Вид теплоносителя_x000D_
(kind_of_heat_transfer2)</t>
  </si>
  <si>
    <t>Вид теплоносителя_x000D_
(kind_of_heat_transfer3)</t>
  </si>
  <si>
    <t>Вид топлива_x000D_
(kind_of_fuel)</t>
  </si>
  <si>
    <t>Способ закупки товаров_x000D_
(kind_of_zak)</t>
  </si>
  <si>
    <t>виды тарифа_x000D_
/kind_group_rates_load/</t>
  </si>
  <si>
    <t>виды тарифа_x000D_
/kind_group_rates_load_filter/</t>
  </si>
  <si>
    <t>виды признаков дифференциации_x000D_
/kind_of_diff/</t>
  </si>
  <si>
    <t>Диапазаны диаметров водопроводных сетей_x000D_
(kind_of_diameters2)</t>
  </si>
  <si>
    <t>List_H</t>
  </si>
  <si>
    <t>List_M</t>
  </si>
  <si>
    <t>kind_of_org_type</t>
  </si>
  <si>
    <t>Виды топлива_x000D_
/kind_of_fuels/</t>
  </si>
  <si>
    <t>YEAR_IP_LIST</t>
  </si>
  <si>
    <t>MONTH_IP_LIST</t>
  </si>
  <si>
    <t>COLDVSNA/HOTVSNA</t>
  </si>
  <si>
    <t>OTKO</t>
  </si>
  <si>
    <t>Алтайский край</t>
  </si>
  <si>
    <t>январь</t>
  </si>
  <si>
    <t>I квартал</t>
  </si>
  <si>
    <t>На официальном сайте организации</t>
  </si>
  <si>
    <t>тыс.куб.м/сутки</t>
  </si>
  <si>
    <t>метод экономически обоснованных расходов (затрат)</t>
  </si>
  <si>
    <t>Передача+Сбыт</t>
  </si>
  <si>
    <t>вода</t>
  </si>
  <si>
    <t>без дифференциации</t>
  </si>
  <si>
    <t>организации-перепродавцы</t>
  </si>
  <si>
    <t>надземная (наземная)</t>
  </si>
  <si>
    <t>50 - 250 мм</t>
  </si>
  <si>
    <t>не превышает 0,1 Гкал/ч</t>
  </si>
  <si>
    <t>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в соответствии с установленными федеральным органом исполнительной власти в области государственного регулирования тарифов в сфере теплоснабжения предельными (минимальным и (или) максимальным) уровнями указанных тарифов</t>
  </si>
  <si>
    <t>Форма 4.2.1 Информация о величинах тарифов на тепловую энергию, поддержанию резервной тепловой мощности</t>
  </si>
  <si>
    <t>Тариф на теплоноситель, поставляемый потребителям</t>
  </si>
  <si>
    <t>Плата за услуги по поддержанию резервной тепловой мощности при отсутствии потребления тепловой энергии для отдельных категорий (групп) социально значимых потребителей</t>
  </si>
  <si>
    <t>Вода</t>
  </si>
  <si>
    <t>Газ природный по регулируемой цене</t>
  </si>
  <si>
    <t>Конкурс</t>
  </si>
  <si>
    <t>объемы потребления воды абонентами</t>
  </si>
  <si>
    <t>40 мм и менее</t>
  </si>
  <si>
    <t>00</t>
  </si>
  <si>
    <t>газ природный по регулируемой цене</t>
  </si>
  <si>
    <t>тыс м3</t>
  </si>
  <si>
    <t>Январь</t>
  </si>
  <si>
    <t>Амурская область</t>
  </si>
  <si>
    <t>февраль</t>
  </si>
  <si>
    <t>На сайте регулирующего органа</t>
  </si>
  <si>
    <t>УСН</t>
  </si>
  <si>
    <t>метод индексации установленных тарифов</t>
  </si>
  <si>
    <t>Передача</t>
  </si>
  <si>
    <t>пар</t>
  </si>
  <si>
    <t>изменения в раскрытой ранее информации</t>
  </si>
  <si>
    <t>к коллектору источника тепловой энергии</t>
  </si>
  <si>
    <t>бюджетные организации</t>
  </si>
  <si>
    <t>подземная (канальная)</t>
  </si>
  <si>
    <t>251 - 400 мм</t>
  </si>
  <si>
    <t>более 0,1 Гкал/ч и не превышает 1,5 Гкал/ч</t>
  </si>
  <si>
    <t>Тарифы на тепловую энергию (мощность), поставляемую другим теплоснабжающим организациям теплоснабжающими организациями</t>
  </si>
  <si>
    <t>Тариф на теплоноситель, поставляемый теплоснабжающей организацией, владеющей источником (источниками) тепловой энергии, на котором производится теплоноситель</t>
  </si>
  <si>
    <t>Плата за услуги по поддержанию резервной тепловой мощности, оказываемые регулируемой организацией, мощность источников тепловой энергии которой используется для поддержания резервной мощности в соответствии со схемой теплоснабжения</t>
  </si>
  <si>
    <t>Отборный пар, 1,2-2,5 кг/см2</t>
  </si>
  <si>
    <t>Пар</t>
  </si>
  <si>
    <t>Газ природный по нерегулируемой цене</t>
  </si>
  <si>
    <t>Аукцион</t>
  </si>
  <si>
    <t>Тарифы на тепловую энергию (мощность), поставляемую потребителям теплоснабжающими организациями в соответствии с установленными предельными (минимальными и (или) максимальными) уровнями указанных тарифов</t>
  </si>
  <si>
    <t>соответствие качества питьевой воды и горячей воды требованиям, установленным санитарными нормами и правилами</t>
  </si>
  <si>
    <t>от 41 мм до 70 мм включительно</t>
  </si>
  <si>
    <t>01</t>
  </si>
  <si>
    <t>Единая теплоснабжающая организация в ценовой зоне теплоснабжения</t>
  </si>
  <si>
    <t>газ природный по нерегулируемой цене</t>
  </si>
  <si>
    <t>Февраль</t>
  </si>
  <si>
    <t>HEAT_FIN_SRC_LIST</t>
  </si>
  <si>
    <t>VSNA_FIN_SRC_LIST</t>
  </si>
  <si>
    <t>VOTV_FIN_SRC_LIST</t>
  </si>
  <si>
    <t>OTKO_FIN_SRC_LIST</t>
  </si>
  <si>
    <t>HEAT_PT_TARIFF_NAME_LIST</t>
  </si>
  <si>
    <t>COLDVSNA_PT_TARIFF_NAME_LIST</t>
  </si>
  <si>
    <t>HOTVSNA_PT_TARIFF_NAME_LIST</t>
  </si>
  <si>
    <t>VOTV_PT_TARIFF_NAME_LIST</t>
  </si>
  <si>
    <t>Архангельская область</t>
  </si>
  <si>
    <t>март</t>
  </si>
  <si>
    <t>III квартал</t>
  </si>
  <si>
    <t>ЕСХН</t>
  </si>
  <si>
    <t>куб.м/ч</t>
  </si>
  <si>
    <t>метод обеспечения доходности инвестированного капитала</t>
  </si>
  <si>
    <t>производство комбинированная выработка</t>
  </si>
  <si>
    <t>отборный пар, 1.2-2.5 кг/см2</t>
  </si>
  <si>
    <t>к тепловой сети без дополнительного преобразования на тепловых пунктах, эксплуатируемых теплоснабжающей организацией</t>
  </si>
  <si>
    <t>население и приравненные категории</t>
  </si>
  <si>
    <t>подземная (бесканальная)</t>
  </si>
  <si>
    <t>401 - 550 мм</t>
  </si>
  <si>
    <t>превышает 1,5 Гкал/ч при наличии технической возможности подключения</t>
  </si>
  <si>
    <t>Предельный уровнь цены на тепловую энергию (мощность), поставляемую теплоснабжающими организациями потребителям</t>
  </si>
  <si>
    <t>Плата за услуги по поддержанию резервной тепловой мощности, оказываемые регулируемой организацией, мощность тепловых сетей которой используется для поддержания резервной мощности в соответствии со схемой теплоснабжения</t>
  </si>
  <si>
    <t>Отборный пар, 2,5-7 кг/см2</t>
  </si>
  <si>
    <t>Уголь</t>
  </si>
  <si>
    <t>Аукцион в электронной форме</t>
  </si>
  <si>
    <t>иное</t>
  </si>
  <si>
    <t>от 71 мм до 100 мм включительно</t>
  </si>
  <si>
    <t>02</t>
  </si>
  <si>
    <t>Теплоснабжающая организация в ценовой зоне теплоснабжения</t>
  </si>
  <si>
    <t>газ сжиженный</t>
  </si>
  <si>
    <t>кг</t>
  </si>
  <si>
    <t>Март</t>
  </si>
  <si>
    <t>[ Собственные средства ]</t>
  </si>
  <si>
    <t>HEAT_PT_TARIFF_ID</t>
  </si>
  <si>
    <t>HEAT_PT_TARIFF_NAME</t>
  </si>
  <si>
    <t>COLDVSNA_PT_TARIFF_ID</t>
  </si>
  <si>
    <t>COLDVSNA_PT_TARIFF_NAME</t>
  </si>
  <si>
    <t>HOTVSNA_PT_TARIFF_ID</t>
  </si>
  <si>
    <t>HOTVSNA_PT_TARIFF_NAME</t>
  </si>
  <si>
    <t>VOTV_PT_TARIFF_ID</t>
  </si>
  <si>
    <t>VOTV_PT_TARIFF_NAME</t>
  </si>
  <si>
    <t>Астраханская область</t>
  </si>
  <si>
    <t>апрель</t>
  </si>
  <si>
    <t>IV квартал</t>
  </si>
  <si>
    <t>ПСН</t>
  </si>
  <si>
    <t>метод сравнения аналогов</t>
  </si>
  <si>
    <t>производство (некомбинированная выработка)+передача+сбыт</t>
  </si>
  <si>
    <t>отборный пар, 2.5-7 кг/см2</t>
  </si>
  <si>
    <t>к тепловой сети после тепловых пунктов (на тепловых пунктах), эксплуатируемых теплоснабжающей организацией</t>
  </si>
  <si>
    <t>прочие</t>
  </si>
  <si>
    <t>551 - 700 мм</t>
  </si>
  <si>
    <t>превышает 1,5 Гкал/ч при отсутствии технической возможности подключения</t>
  </si>
  <si>
    <t>Форма 4.2.2 Информация о величинах тарифов на теплоноситель, передачу тепловой энергии, теплоносителя</t>
  </si>
  <si>
    <t>не известна</t>
  </si>
  <si>
    <t>Отборный пар, 7-13 кг/см2</t>
  </si>
  <si>
    <t>Мазут</t>
  </si>
  <si>
    <t>Запрос котировок</t>
  </si>
  <si>
    <t>от 101 мм до 150 мм включительно</t>
  </si>
  <si>
    <t>03</t>
  </si>
  <si>
    <t>Теплосетевая организация в ценовой зоне теплоснабжения</t>
  </si>
  <si>
    <t>газовый конденсат</t>
  </si>
  <si>
    <t>тонны</t>
  </si>
  <si>
    <t>Апрель</t>
  </si>
  <si>
    <t xml:space="preserve">  Прибыль направляемая на инвестиции</t>
  </si>
  <si>
    <t xml:space="preserve">  Нормативная прибыль</t>
  </si>
  <si>
    <t>Тариф на горячую воду в закрытой системе горячего водоснабжения (горячее водоснабжение)</t>
  </si>
  <si>
    <t>Тариф на подключение (технологическое присоединение) к централизованной системе водоотведения в индивидуальном порядке</t>
  </si>
  <si>
    <t>Белгородская область</t>
  </si>
  <si>
    <t>май</t>
  </si>
  <si>
    <t>НПД</t>
  </si>
  <si>
    <t>Вид тарифа на передачу тепловой энергии /kind_of_tariff_unit/</t>
  </si>
  <si>
    <t>производство (некомбинированная выработка)+передача</t>
  </si>
  <si>
    <t>отборный пар, 7-13 кг/см2</t>
  </si>
  <si>
    <t>701 мм и выше</t>
  </si>
  <si>
    <t>Форма 4.2.3 Информация о величинах тарифов на горячую воду (в открытых системах)</t>
  </si>
  <si>
    <t>Отборный пар, &gt; 13 кг/см2</t>
  </si>
  <si>
    <t>Дизельное топливо</t>
  </si>
  <si>
    <t>Единственный поставщик</t>
  </si>
  <si>
    <t>от 151 мм до 200 мм включительно</t>
  </si>
  <si>
    <t>04</t>
  </si>
  <si>
    <t>гшз</t>
  </si>
  <si>
    <t>Май</t>
  </si>
  <si>
    <t xml:space="preserve">  [ Амортизационные отчисления ]</t>
  </si>
  <si>
    <t xml:space="preserve">  Капитальные вложения (инвестиции), финансируемые за счет нормативной прибыли, учитываемой в необходимой валовой выручке</t>
  </si>
  <si>
    <t xml:space="preserve">  Амортизационные отчисления</t>
  </si>
  <si>
    <t>Тариф на подключение к централизованной системе водоотведения</t>
  </si>
  <si>
    <t>Брянская область</t>
  </si>
  <si>
    <t>июнь</t>
  </si>
  <si>
    <t>налогообложение казённых учреждений</t>
  </si>
  <si>
    <t>руб./Гкал/ч/мес</t>
  </si>
  <si>
    <t>производство (некомбинированная выработка)+сбыт</t>
  </si>
  <si>
    <t>отборный пар, &gt; 13 кг/см2</t>
  </si>
  <si>
    <t>Острый и редуцированный пар</t>
  </si>
  <si>
    <t>Дрова</t>
  </si>
  <si>
    <t>Иное</t>
  </si>
  <si>
    <t>от 201 мм до 250 мм включительно</t>
  </si>
  <si>
    <t>05</t>
  </si>
  <si>
    <t>QRE_METHOD_LIST</t>
  </si>
  <si>
    <t>мазут</t>
  </si>
  <si>
    <t>Июнь</t>
  </si>
  <si>
    <t xml:space="preserve">      Амортизационные отчисления с выделением результатов переоценки основных средств и нематериальных активов</t>
  </si>
  <si>
    <t>[ Привлеченные средства ]</t>
  </si>
  <si>
    <t>Тариф на подключение к централизованной системе горячего водоснабжения</t>
  </si>
  <si>
    <t>Владимирская область</t>
  </si>
  <si>
    <t>июль</t>
  </si>
  <si>
    <t>смешанное налогообложение</t>
  </si>
  <si>
    <t>руб./Гкал</t>
  </si>
  <si>
    <t>производство (некомбинированная выработка)</t>
  </si>
  <si>
    <t>острый и редуцированный пар</t>
  </si>
  <si>
    <t>Электроэнергия</t>
  </si>
  <si>
    <t>от 250  мм и более</t>
  </si>
  <si>
    <t>06</t>
  </si>
  <si>
    <t>по мероприятиям</t>
  </si>
  <si>
    <t>нефть</t>
  </si>
  <si>
    <t>Июль</t>
  </si>
  <si>
    <t xml:space="preserve">      Прочие амортизационные отчисления</t>
  </si>
  <si>
    <t xml:space="preserve">     Амортизационные отчисления за исключением переоценки основных средств и нематериальных активов</t>
  </si>
  <si>
    <t xml:space="preserve">  Кредиты</t>
  </si>
  <si>
    <t>Тариф на подключение (технологическое присоединение) к централизованной системе холодного водоснабжения в индивидуальном порядке</t>
  </si>
  <si>
    <t>Тариф на подключение к централизованной системе горячего водоснабжения (инд)</t>
  </si>
  <si>
    <t>Волгоградская область</t>
  </si>
  <si>
    <t>август</t>
  </si>
  <si>
    <t>НДС общий_x000D_
/kind_of_NDS_tariff/</t>
  </si>
  <si>
    <t>НДС_x000D_
/kind_of_NDS_tariff/</t>
  </si>
  <si>
    <t>горячая вода в системе централизованного теплоснабжения на отопление</t>
  </si>
  <si>
    <t>Прочее</t>
  </si>
  <si>
    <t>Плата за подключение к системе теплоснабжения</t>
  </si>
  <si>
    <t>07</t>
  </si>
  <si>
    <t>по группам мероприятий</t>
  </si>
  <si>
    <t>дизельное топливо</t>
  </si>
  <si>
    <t>Август</t>
  </si>
  <si>
    <t xml:space="preserve">  Прочие собственные средства</t>
  </si>
  <si>
    <t xml:space="preserve">     Амортизационные отчисления в результате переоценки основных средств и нематериальных активов</t>
  </si>
  <si>
    <t xml:space="preserve">  [ Займы ]</t>
  </si>
  <si>
    <t>сентябрь</t>
  </si>
  <si>
    <t>тариф указан с НДС для плательщиков НДС</t>
  </si>
  <si>
    <t>тариф для организаций не являющихся плательщиками НДС</t>
  </si>
  <si>
    <t>Установленная электрическая мощность. Теплоэлектростанции. Ед.измерения  /kind_of_power_te_unit/</t>
  </si>
  <si>
    <t>цель инвестиционной программы /kind_of_purchase_method/</t>
  </si>
  <si>
    <t>горячая вода в системе централизованного теплоснабжения на горячее водоснабжение</t>
  </si>
  <si>
    <t>Плата за подключение к системе теплоснабжения (индивидуальная)</t>
  </si>
  <si>
    <t>Форма 4.2.5 Информация о плате за подключение к системе теплоснабжения в индивидуальном порядке</t>
  </si>
  <si>
    <t>08</t>
  </si>
  <si>
    <t>в целом на инвестиционную программу</t>
  </si>
  <si>
    <t>уголь бурый</t>
  </si>
  <si>
    <t>Сентябрь</t>
  </si>
  <si>
    <t xml:space="preserve">  За счет платы за технологическое присоединение</t>
  </si>
  <si>
    <t xml:space="preserve">     Прочие амортизационные отчисления</t>
  </si>
  <si>
    <t xml:space="preserve">      Займы, предоставленные Фондом ЖКХ за счет средств ФНБ</t>
  </si>
  <si>
    <t>Воронежская область</t>
  </si>
  <si>
    <t>октябрь</t>
  </si>
  <si>
    <t>тариф указан без НДС для плательщиков НДС</t>
  </si>
  <si>
    <t>тариф не утверждался</t>
  </si>
  <si>
    <t>кВт*ч</t>
  </si>
  <si>
    <t>Торги/аукционы</t>
  </si>
  <si>
    <t>прочее</t>
  </si>
  <si>
    <t>Форма 4.2.4 Информация о величинах тарифов на подключение к системе теплоснабжения</t>
  </si>
  <si>
    <t>09</t>
  </si>
  <si>
    <t>по муниципальным образованиям/территориям</t>
  </si>
  <si>
    <t>уголь каменный</t>
  </si>
  <si>
    <t>Октябрь</t>
  </si>
  <si>
    <t xml:space="preserve">  [ Экономия расходов ]</t>
  </si>
  <si>
    <t xml:space="preserve">      Прочие займы</t>
  </si>
  <si>
    <t>г.Байконур</t>
  </si>
  <si>
    <t>ноябрь</t>
  </si>
  <si>
    <t>МВт</t>
  </si>
  <si>
    <t>Прямые договора без торгов</t>
  </si>
  <si>
    <t>Предельный уровнь цены на тепловую энергию (мощность), поставляемую теплоснабжающими организациями потребителям. Индикативы</t>
  </si>
  <si>
    <t>по централизованным системам</t>
  </si>
  <si>
    <t>торф</t>
  </si>
  <si>
    <t>Ноябрь</t>
  </si>
  <si>
    <t xml:space="preserve">      Экономия расходов в результате реализации мероприятий инвестиционной программы</t>
  </si>
  <si>
    <t xml:space="preserve">  Средства, полученные за счет платы за подключение (технологическое присоединение)</t>
  </si>
  <si>
    <t>[ Бюджетное финансирование ]</t>
  </si>
  <si>
    <t>г. Москва</t>
  </si>
  <si>
    <t>декабрь</t>
  </si>
  <si>
    <t>дрова</t>
  </si>
  <si>
    <t>м3</t>
  </si>
  <si>
    <t>Декабрь</t>
  </si>
  <si>
    <t xml:space="preserve">      Экономия расходов, связанная с сокращением потерь в тепловых сетях, сменой видов и (или) марки основного и (или) резервного топлива на источниках тепловой энергии, реализацией энергосервисного договора (контракта) в размере, определенном по решению регулируемой организации, плату за подключение (технологическое присоединение) к системам централизованного теплоснабжения</t>
  </si>
  <si>
    <t xml:space="preserve">  Федеральный бюджет</t>
  </si>
  <si>
    <t>г.Санкт-Петербург</t>
  </si>
  <si>
    <t>Объём приобретаемой тепловой энергии (мощности), используемой для горячего водоснабжения. Ед.измерения  /kind_of_volume_te_unit/</t>
  </si>
  <si>
    <t>Вид деятельности /kind_of_activity/</t>
  </si>
  <si>
    <t>TITLE_IP_DETAILED_METHOD_LIST</t>
  </si>
  <si>
    <t>опил</t>
  </si>
  <si>
    <t xml:space="preserve">      Экономия расходов, достигнутая регулируемой организацией в результате реализации мероприятий инвестиционной программы за счет амортизационных отчислений</t>
  </si>
  <si>
    <t xml:space="preserve">  Бюджет субъекта РФ</t>
  </si>
  <si>
    <t>г.Севастополь</t>
  </si>
  <si>
    <t>TemplateState</t>
  </si>
  <si>
    <t>НДС общий люди_x000D_
/kind_of_NDS_tariff_people/</t>
  </si>
  <si>
    <t>НДС_x000D_
/kind_of_NDS_tariff_people/</t>
  </si>
  <si>
    <t>производство тепловой энергии (мощности)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МВт и более</t>
  </si>
  <si>
    <t>отходы березовые</t>
  </si>
  <si>
    <t xml:space="preserve">      Экономия расходов, достигнутая регулируемой организацией в результате реализации мероприятий инвестиционной программы за счет капитальных вложений в составе нормативной прибыли</t>
  </si>
  <si>
    <t xml:space="preserve">  Бюджет муниципального образования</t>
  </si>
  <si>
    <t>Донецкая Народная Республика</t>
  </si>
  <si>
    <t>START_FILL</t>
  </si>
  <si>
    <t>тариф с НДС организаций-плательщиков НДС</t>
  </si>
  <si>
    <t>тариф организаций не являющихся плательщиками НДС</t>
  </si>
  <si>
    <t>15</t>
  </si>
  <si>
    <t>производство тепловой энергии (мощности)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менее 25 МВт</t>
  </si>
  <si>
    <t>отходы осиновые</t>
  </si>
  <si>
    <t xml:space="preserve">      Экономия расходов, достигнутая регулируемой организацией в результате реализации мероприятий инвестиционной программы за счет прочих собственных средств</t>
  </si>
  <si>
    <t>[ Прочие источники финансирования ]</t>
  </si>
  <si>
    <t>Еврейская автономная область</t>
  </si>
  <si>
    <t>16</t>
  </si>
  <si>
    <t>производство тепловой энергии (мощности) не в режиме комбинированной выработки электрической и тепловой энергии источниками тепловой энергии</t>
  </si>
  <si>
    <t>по мероприятиям и группам мероприятий</t>
  </si>
  <si>
    <t>печное топливо</t>
  </si>
  <si>
    <t xml:space="preserve">      Экономия расходов, достигнутая регулируемой организацией в результате реализации мероприятий инвестиционной программы за счет за счет займов и кредитов</t>
  </si>
  <si>
    <t xml:space="preserve">  Лизинг</t>
  </si>
  <si>
    <t>COLDVSNA_PT_VED_NAME_LIST</t>
  </si>
  <si>
    <t>HOTVSNA_PT_VED_NAME_LIST</t>
  </si>
  <si>
    <t>VOTV_PT_VED_NAME_LIST</t>
  </si>
  <si>
    <t>TKO_PT_VED_NAME_LIST</t>
  </si>
  <si>
    <t>Забайкальский край</t>
  </si>
  <si>
    <t>Тарифы на тепло для REQUEST.HEAT_x000D_
/kind_of_tariff_RHEAT/</t>
  </si>
  <si>
    <t>17</t>
  </si>
  <si>
    <t>производство теплоносителя</t>
  </si>
  <si>
    <t>пилеты</t>
  </si>
  <si>
    <t xml:space="preserve">      Экономия средств, достигнутая регулируемой организацией в результате снижения расходов</t>
  </si>
  <si>
    <t xml:space="preserve">  Прочие</t>
  </si>
  <si>
    <t>COLDVSNA_PT_VED_ID</t>
  </si>
  <si>
    <t>COLDVSNA_PT_VED_NAME</t>
  </si>
  <si>
    <t>HOTVSNA_PT_VED_ID</t>
  </si>
  <si>
    <t>HOTVSNA_PT_VED_NAME</t>
  </si>
  <si>
    <t>VOTV_PT_VED_ID</t>
  </si>
  <si>
    <t>VOTV_PT_VED_NAME</t>
  </si>
  <si>
    <t>TKO_PT_VED_ID</t>
  </si>
  <si>
    <t>TKO_PT_VED_NAME</t>
  </si>
  <si>
    <t>Запорожская область</t>
  </si>
  <si>
    <t>18</t>
  </si>
  <si>
    <t>передача тепловой энергии и теплоносителя</t>
  </si>
  <si>
    <t>IP_CLAIM_LIST</t>
  </si>
  <si>
    <t>смола</t>
  </si>
  <si>
    <t xml:space="preserve">  Прочие привлеченные средства</t>
  </si>
  <si>
    <t xml:space="preserve">      Экономия расходов в результате реализации энергосервисного договора (контракта) в результате снижения расходов, в размере, определенном по решению регулируемой организации, плату за подключение к централизованным системам водоснабжения</t>
  </si>
  <si>
    <t>Производство тепловой энергии. Некомбинированная выработка</t>
  </si>
  <si>
    <t>Холодное водоснабжение. Питьевая вода</t>
  </si>
  <si>
    <t>Горячее водоснабжение</t>
  </si>
  <si>
    <t>Водоотведение</t>
  </si>
  <si>
    <t>Захоронение твердых коммунальных отходов</t>
  </si>
  <si>
    <t>Ивановская область</t>
  </si>
  <si>
    <t>19</t>
  </si>
  <si>
    <t>сбыт тепловой энергии и теплоносителя</t>
  </si>
  <si>
    <t>уменьшение удельных затрат (повышение КПД)</t>
  </si>
  <si>
    <t>щепа</t>
  </si>
  <si>
    <t>Производство тепловой энергии. Комбинированная выработка с уст. мощностью производства электрической энергии менее 25 МВт</t>
  </si>
  <si>
    <t>Холодное водоснабжение. Техническая вода</t>
  </si>
  <si>
    <t>Транспортировка</t>
  </si>
  <si>
    <t>Обезвреживание твердых коммунальных отходов</t>
  </si>
  <si>
    <t>Иркутская область</t>
  </si>
  <si>
    <t>20</t>
  </si>
  <si>
    <t>подключение к системе теплоснабжения</t>
  </si>
  <si>
    <t>автоматизация (с уменьшением штата)</t>
  </si>
  <si>
    <t>горючий сланец</t>
  </si>
  <si>
    <t>Производство тепловой энергии. Комбинированная выработка с уст. мощностью производства электрической энергии 25 МВт и более</t>
  </si>
  <si>
    <t>Холодное водоснабжение. Подвозная вода</t>
  </si>
  <si>
    <t>Подключение (технологическое присоединение) к централизованной системе горячего водоснабжения</t>
  </si>
  <si>
    <t>Подключение (технологическое присоединение) к централизованной системе водоотведения</t>
  </si>
  <si>
    <t>Обработка твердых коммунальных отходов</t>
  </si>
  <si>
    <t>Кабардино-Балкарская республика</t>
  </si>
  <si>
    <t>поддержание резервной тепловой мощности при отсутствии потребления тепловой энергии</t>
  </si>
  <si>
    <t>уменьшение издержек на производство</t>
  </si>
  <si>
    <t>керосин</t>
  </si>
  <si>
    <t>Производство. Теплоноситель</t>
  </si>
  <si>
    <t>Транспортировка. Питьевая вода</t>
  </si>
  <si>
    <t>Калининградская область</t>
  </si>
  <si>
    <t>21</t>
  </si>
  <si>
    <t>снижение аварийности</t>
  </si>
  <si>
    <t>кислородно-водородная смесь</t>
  </si>
  <si>
    <t>Передача. Тепловая энергия</t>
  </si>
  <si>
    <t>Транспортировка. Техническая вода</t>
  </si>
  <si>
    <t>Энергетическая утилизация</t>
  </si>
  <si>
    <t>Калужская область</t>
  </si>
  <si>
    <t>22</t>
  </si>
  <si>
    <t>улучшение качества</t>
  </si>
  <si>
    <t>электроэнергия (НН)</t>
  </si>
  <si>
    <t>тыс кВт.ч</t>
  </si>
  <si>
    <t>Передача. Теплоноситель</t>
  </si>
  <si>
    <t>Транспортировка. Подвозная вода</t>
  </si>
  <si>
    <t>Транспортирование твердых коммунальных отходов</t>
  </si>
  <si>
    <t>Камчатский край</t>
  </si>
  <si>
    <t>23</t>
  </si>
  <si>
    <t>повышение надёжности и энергетической эффективности</t>
  </si>
  <si>
    <t>электроэнергия (СН1)</t>
  </si>
  <si>
    <t>Сбыт. Тепловая энергия</t>
  </si>
  <si>
    <t>Подключение (технологическое присоединение) к централизованной системе водоснабжения</t>
  </si>
  <si>
    <t>Карачаево-Черкесская республика</t>
  </si>
  <si>
    <t>CROSSES</t>
  </si>
  <si>
    <t>24</t>
  </si>
  <si>
    <t>электроэнергия (СН2)</t>
  </si>
  <si>
    <t>Сбыт. Теплоноситель</t>
  </si>
  <si>
    <t>Кемеровская область</t>
  </si>
  <si>
    <t>электроэнергия (ВН)</t>
  </si>
  <si>
    <t>Подключение (технологическое присоединение) к системе теплоснабжения</t>
  </si>
  <si>
    <t>Кировская область</t>
  </si>
  <si>
    <t>Текущая дата</t>
  </si>
  <si>
    <t>26</t>
  </si>
  <si>
    <t>PT_GROUP_CONSUMER_LIST</t>
  </si>
  <si>
    <t>мощность</t>
  </si>
  <si>
    <t>тыс кВт</t>
  </si>
  <si>
    <t>Поддержание резервной тепловой мощности при отсутствии потребления тепловой энергии</t>
  </si>
  <si>
    <t>Костромская область</t>
  </si>
  <si>
    <t>Организация</t>
  </si>
  <si>
    <t>25.07.2023 22:51:32</t>
  </si>
  <si>
    <t>27</t>
  </si>
  <si>
    <t>Краснодарский край</t>
  </si>
  <si>
    <t>28</t>
  </si>
  <si>
    <t xml:space="preserve">  Плата концедента на строительство, модернизацию и (или) реконструкцию объекта концессионного соглашения в размере, предусмотренном заключенным концессионным соглашением</t>
  </si>
  <si>
    <t>Красноярский край</t>
  </si>
  <si>
    <t>29</t>
  </si>
  <si>
    <t>население</t>
  </si>
  <si>
    <t xml:space="preserve">  Иные бюджетные средства</t>
  </si>
  <si>
    <t>Курганская область</t>
  </si>
  <si>
    <t>Виды деятельности</t>
  </si>
  <si>
    <t>https://appsrv.regportal-tariff.ru/procwsxls/</t>
  </si>
  <si>
    <t>30</t>
  </si>
  <si>
    <t>Курская область</t>
  </si>
  <si>
    <t>31</t>
  </si>
  <si>
    <t>Ленинградская область</t>
  </si>
  <si>
    <t>32</t>
  </si>
  <si>
    <t>Липецкая область</t>
  </si>
  <si>
    <t>33</t>
  </si>
  <si>
    <t>PT_SCHEME_LIST</t>
  </si>
  <si>
    <t xml:space="preserve">  Доход от взимания платы за нарушение нормативов по объему и (или) составу сточных вод</t>
  </si>
  <si>
    <t>Луганская Народная Республика</t>
  </si>
  <si>
    <t>TEMPLATE_SPHERE</t>
  </si>
  <si>
    <t>34</t>
  </si>
  <si>
    <t xml:space="preserve">  Доход от взимания платы за негативное воздействие на работу централизованной системы водоотведения</t>
  </si>
  <si>
    <t>Магаданская область</t>
  </si>
  <si>
    <t>теплоснабжения</t>
  </si>
  <si>
    <t>теплоснабжение</t>
  </si>
  <si>
    <t>35</t>
  </si>
  <si>
    <t>Московская область</t>
  </si>
  <si>
    <t>холодного водоснабжения</t>
  </si>
  <si>
    <t>холодное водоснабжение</t>
  </si>
  <si>
    <t>36</t>
  </si>
  <si>
    <t>HEAT_FIN_SRC_VLD_LIST</t>
  </si>
  <si>
    <t>VSNA_FIN_SRC_VLD_LIST</t>
  </si>
  <si>
    <t>VOTV_FIN_SRC_VLD_LIST</t>
  </si>
  <si>
    <t>OTKO_FIN_SRC_VLD_LIST</t>
  </si>
  <si>
    <t>Мурманская область</t>
  </si>
  <si>
    <t>водоотведения</t>
  </si>
  <si>
    <t>водоотведение</t>
  </si>
  <si>
    <t>37</t>
  </si>
  <si>
    <t>Прибыль направляемая на инвестиции</t>
  </si>
  <si>
    <t>Нормативная прибыль</t>
  </si>
  <si>
    <t>Ненецкий автономный округ</t>
  </si>
  <si>
    <t>горячего водоснабжения</t>
  </si>
  <si>
    <t>горячее водоснабжение</t>
  </si>
  <si>
    <t>38</t>
  </si>
  <si>
    <t>Амортизационные отчисления с выделением результатов переоценки основных средств и нематериальных активов</t>
  </si>
  <si>
    <t>Нижегородская область</t>
  </si>
  <si>
    <t>обращения с твердыми коммунальными отходами</t>
  </si>
  <si>
    <t>TKO</t>
  </si>
  <si>
    <t>39</t>
  </si>
  <si>
    <t>PT_TN_LIST</t>
  </si>
  <si>
    <t>Прочие амортизационные отчисления</t>
  </si>
  <si>
    <t>Новгородская область</t>
  </si>
  <si>
    <t>40</t>
  </si>
  <si>
    <t>Займы, предоставленные Фондом ЖКХ за счет средств ФНБ</t>
  </si>
  <si>
    <t>Новосибирская область</t>
  </si>
  <si>
    <t>41</t>
  </si>
  <si>
    <t>За счет платы за технологическое присоединение</t>
  </si>
  <si>
    <t>Прочие займы</t>
  </si>
  <si>
    <t>Омская область</t>
  </si>
  <si>
    <t>PeriodIsEmpty</t>
  </si>
  <si>
    <t>NameTemplatesInTitle</t>
  </si>
  <si>
    <t>NameTemplatesInListMO</t>
  </si>
  <si>
    <t>42</t>
  </si>
  <si>
    <t>Экономия расходов в результате реализации мероприятий инвестиционной программы</t>
  </si>
  <si>
    <t>Федеральный бюджет</t>
  </si>
  <si>
    <t>Оренбургская область</t>
  </si>
  <si>
    <t>TEMPLATE_GROUP</t>
  </si>
  <si>
    <t>Q</t>
  </si>
  <si>
    <t>CodeTemplate</t>
  </si>
  <si>
    <t>StartDate</t>
  </si>
  <si>
    <t>EndDate</t>
  </si>
  <si>
    <t>43</t>
  </si>
  <si>
    <t>Экономия расходов, связанная с сокращением потерь в тепловых сетях, сменой видов и (или) марки основного и (или) резервного топлива на источниках тепловой энергии, реализацией энергосервисного договора (контракта) в размере, определенном по решению регулируемой организации, плату за подключение (технологическое присоединение) к системам централизованного теплоснабжения</t>
  </si>
  <si>
    <t>Бюджет субъекта РФ</t>
  </si>
  <si>
    <t>Орловская область</t>
  </si>
  <si>
    <t>O</t>
  </si>
  <si>
    <t>44</t>
  </si>
  <si>
    <t>Бюджет муниципального образования</t>
  </si>
  <si>
    <t>Пензенская область</t>
  </si>
  <si>
    <t>45</t>
  </si>
  <si>
    <t>Лизинг</t>
  </si>
  <si>
    <t>Пермский край</t>
  </si>
  <si>
    <t>BALANCE</t>
  </si>
  <si>
    <t>B</t>
  </si>
  <si>
    <t>Информация о показателях финансово-хозяйственной деятельности, об основных потребительских характеристиках регулируемых товаров и услуг, об инвестиционных программах</t>
  </si>
  <si>
    <t>46</t>
  </si>
  <si>
    <t>Прочие</t>
  </si>
  <si>
    <t>Приморский край</t>
  </si>
  <si>
    <t>TERMS</t>
  </si>
  <si>
    <t>T</t>
  </si>
  <si>
    <t>47</t>
  </si>
  <si>
    <t>Псковская область</t>
  </si>
  <si>
    <t>INVEST</t>
  </si>
  <si>
    <t>48</t>
  </si>
  <si>
    <t>Республика Адыгея</t>
  </si>
  <si>
    <t>REQUEST</t>
  </si>
  <si>
    <t>R</t>
  </si>
  <si>
    <t>49</t>
  </si>
  <si>
    <t>Экономия расходов в результате реализации энергосервисного договора (контракта) в результате снижения расходов, в размере, определенном по решению регулируемой организации, плату за подключение к централизованным системам водоснабжения</t>
  </si>
  <si>
    <t>Республика Алтай</t>
  </si>
  <si>
    <t>PRICE</t>
  </si>
  <si>
    <t>P</t>
  </si>
  <si>
    <t>50</t>
  </si>
  <si>
    <t>Республика Башкортостан</t>
  </si>
  <si>
    <t>ROIV</t>
  </si>
  <si>
    <t>Показатели, подлежащие раскрытию органами регулирования</t>
  </si>
  <si>
    <t>51</t>
  </si>
  <si>
    <t>Республика Бурятия</t>
  </si>
  <si>
    <t>52</t>
  </si>
  <si>
    <t>PT_NETS_LIST</t>
  </si>
  <si>
    <t>Республика Дагестан</t>
  </si>
  <si>
    <t>53</t>
  </si>
  <si>
    <t>Республика Ингушетия</t>
  </si>
  <si>
    <t>TERRITORY_ID</t>
  </si>
  <si>
    <t>начинать только с 2, остальное по умолчанию</t>
  </si>
  <si>
    <t>54</t>
  </si>
  <si>
    <t>Республика Калмыкия</t>
  </si>
  <si>
    <t>DIFFERENTIATION_ID</t>
  </si>
  <si>
    <t>55</t>
  </si>
  <si>
    <t>Республика Карелия</t>
  </si>
  <si>
    <t>IP_ID</t>
  </si>
  <si>
    <t>56</t>
  </si>
  <si>
    <t>Республика Коми</t>
  </si>
  <si>
    <t>начинать только с 30, остальное по умолчанию</t>
  </si>
  <si>
    <t>57</t>
  </si>
  <si>
    <t>PT_DIAMETERS_LIST</t>
  </si>
  <si>
    <t>Республика Крым</t>
  </si>
  <si>
    <t>VDET_ID</t>
  </si>
  <si>
    <t>58</t>
  </si>
  <si>
    <t>Республика Марий Эл</t>
  </si>
  <si>
    <t>NTAR_ID</t>
  </si>
  <si>
    <t>59</t>
  </si>
  <si>
    <t>Республика Мордовия</t>
  </si>
  <si>
    <t>Республика Саха (Якутия)</t>
  </si>
  <si>
    <t>CS_ID</t>
  </si>
  <si>
    <t>Республика Северная Осетия-Алания</t>
  </si>
  <si>
    <t>IST_TE_ID</t>
  </si>
  <si>
    <t>Республика Татарстан</t>
  </si>
  <si>
    <t>Республика Тыва</t>
  </si>
  <si>
    <t>PT_LOAD_LIST</t>
  </si>
  <si>
    <t>Республика Хакасия</t>
  </si>
  <si>
    <t>Ростовская область</t>
  </si>
  <si>
    <t>HEAT_IP_EVENT_GROUP_LIST</t>
  </si>
  <si>
    <t>VSNA_IP_EVENT_GROUP_LIST</t>
  </si>
  <si>
    <t>VOTV_IP_EVENT_GROUP_LIST</t>
  </si>
  <si>
    <t>OTKO_IP_EVENT_GROUP_LIST</t>
  </si>
  <si>
    <t>Рязанская область</t>
  </si>
  <si>
    <t>Строительство, реконструкция или модернизация объектов теплоснабжения в целях подключения потребителей с указанием объектов теплоснабжения, строительство которых финансируется за счет платы за подключение</t>
  </si>
  <si>
    <t>Строительство, реконструкция или модернизация объектов водоснабжения в целях подключения потребителей с указанием объектов водоснабжения, строительство которых финансируется за счет платы за подключение</t>
  </si>
  <si>
    <t>Строительство, реконструкция или модернизация объектов водоотведения и очистки сточных вод в целях подключения потребителей с указанием объектов водоотведения и очистки сточных вод, строительство которых финансируется за счет платы за подключение</t>
  </si>
  <si>
    <t>Мероприятия инвестиционной программы в части накопления твердых коммунальных отходов</t>
  </si>
  <si>
    <t>Самарская область</t>
  </si>
  <si>
    <t>Строительство новых объектов теплоснабжения, не связанных с подключением (технологическим присоединением) новых потребителей, в том числе строительство новых тепловых сетей</t>
  </si>
  <si>
    <t>Строительство новых объектов водоснабжения, не связанных с подключением (технологическим присоединением) новых потребителей, в том числе строительство новых сетей водоснабжения</t>
  </si>
  <si>
    <t>Строительство новых объектов водоотведения и очистки сточных вод, не связанных с подключением (технологическим присоединением) новых потребителей, в том числе строительство новых сетей водоотведения и очистки сточных вод</t>
  </si>
  <si>
    <t>Мероприятия инвестиционной программы в части обработки твердых коммунальных отходов</t>
  </si>
  <si>
    <t>Саратовская область</t>
  </si>
  <si>
    <t>Реконструкция или модернизация существующих объектов теплоснабжения в целях снижения уровня износа существующих объектов теплоснабжения</t>
  </si>
  <si>
    <t>Реконструкция или модернизация существующих объектов водоснабжения в целях снижения уровня износа существующих объектов водоснабжения</t>
  </si>
  <si>
    <t>Реконструкция или модернизация существующих объектов водоотведения и очистки сточных вод в целях снижения уровня износа существующих объектов водоотведения и очистки сточных вод</t>
  </si>
  <si>
    <t>Мероприятия инвестиционной программы в части утилизации твердых коммунальных отходов</t>
  </si>
  <si>
    <t>Сахалинская область</t>
  </si>
  <si>
    <t>Мероприятия, направленные на повышение экологической эффективности</t>
  </si>
  <si>
    <t>Мероприятия инвестиционной программы в части обезвреживания твердых коммунальных отходов</t>
  </si>
  <si>
    <t>Свердловская область</t>
  </si>
  <si>
    <t>Вывод из эксплуатации, консервации и демонтаж объектов теплоснабжения</t>
  </si>
  <si>
    <t>Вывод из эксплуатации, консервация и демонтаж объектов водоснабжения</t>
  </si>
  <si>
    <t>Вывод из эксплуатации, консервация и демонтаж объектов водоотведения и очистки сточных вод</t>
  </si>
  <si>
    <t>Мероприятия инвестиционной программы в части хранения твердых коммунальных отходов</t>
  </si>
  <si>
    <t>Смоленская область</t>
  </si>
  <si>
    <t>Мероприятия, направленные на повышение энергоэффективности в сфере теплоснабжения</t>
  </si>
  <si>
    <t>Мероприятия, направленные на повышение энергоэффективности в сфере водоснабжения</t>
  </si>
  <si>
    <t>Мероприятия, направленные на повышение энергоэффективности в сфере водоотведения и очистки сточных вод</t>
  </si>
  <si>
    <t>Мероприятия инвестиционной программы в части захоронения твердых коммунальных отходов</t>
  </si>
  <si>
    <t>Ставропольский край</t>
  </si>
  <si>
    <t>PT_DIAMETERS_2_LIST</t>
  </si>
  <si>
    <t>Мероприятия по подготовке проектной документации</t>
  </si>
  <si>
    <t>Тамбовская область</t>
  </si>
  <si>
    <t>Мероприятия, предусматривающие капитальные вложения в объекты основных средств и нематериальные активы регулируемой организации, обусловленные необходимостью соблюдения регулируемыми организациями обязательных требований, установленных законодательством Российской Федерации и связанных с осуществлением деятельности в сфере теплоснабжения, включая мероприятия по обеспечению безопасности и антитеррористической защищенности объектов топливно-энергетического комплекса, безопасности критической информационной инфраструктуры</t>
  </si>
  <si>
    <t>Мероприятия, предусматривающие капитальные вложения в объекты основных средств и нематериальные активы регулируемой организации, обусловленные необходимостью соблюдения регулируемыми организациями обязательных требований, установленных законодательством Российской Федерации и связанных с обеспечением деятельности в сфере горячего водоснабжения, холодного водоснабжения с использованием централизованных систем водоснабжения</t>
  </si>
  <si>
    <t xml:space="preserve">Мероприятия, предусматривающие капитальные вложения в объекты основных средств и нематериальные активы регулируемой организации, обусловленные необходимостью соблюдения регулируемыми организациями обязательных требований, установленных законодательством Российской Федерации и связанных с обеспечением деятельности в сфере водоотведения с использованием централизованных систем водоотведения_x000D_
</t>
  </si>
  <si>
    <t>Тверская область</t>
  </si>
  <si>
    <t>Томская область</t>
  </si>
  <si>
    <t>Тульская область</t>
  </si>
  <si>
    <t>HEAT_IP_EVENT_SUBGROUP_1_LIST</t>
  </si>
  <si>
    <t>VSNA_IP_EVENT_SUBGROUP_1_LIST</t>
  </si>
  <si>
    <t>VOTV_IP_EVENT_SUBGROUP_1_LIST</t>
  </si>
  <si>
    <t>Тюменская область</t>
  </si>
  <si>
    <t>строительство новых тепловых сетей в целях подключения потребителей</t>
  </si>
  <si>
    <t>строительство новых сетей водоснабжения в целях подключения потребителей</t>
  </si>
  <si>
    <t>строительство новых сетей водоотведения и очистки сточных вод в целях подключения потребителей</t>
  </si>
  <si>
    <t>Удмуртская республика</t>
  </si>
  <si>
    <t>строительство иных объектов теплоснабжения за исключением тепловых сетей в целях подключения потребителей</t>
  </si>
  <si>
    <t>строительство иных объектов водоснабжения, за исключением сетей водоснабжения в целях подключения потребителей</t>
  </si>
  <si>
    <t>строительство иных объектов водоотведения и очистки сточных вод, за исключением сетей водоотведения и очистки сточных вод в целях подключения потребителей</t>
  </si>
  <si>
    <t>Ульяновская область</t>
  </si>
  <si>
    <t>увеличение пропускной способности существующих тепловых сетей в целях подключения потребителей</t>
  </si>
  <si>
    <t>увеличение пропускной способности существующих сетей водоснабжения в целях подключения потребителей</t>
  </si>
  <si>
    <t>увеличение пропускной способности существующих сетей водоотведения и очистки сточных вод в целях подключения потребителей</t>
  </si>
  <si>
    <t>Хабаровский край</t>
  </si>
  <si>
    <t>увеличение мощности и производительности существующих объектов теплоснабжения за исключением тепловых сетей в целях подключения потребителей</t>
  </si>
  <si>
    <t>увеличение мощности и производительности существующих объектов водоснабжения, за исключением сетей водоснабжения в целях подключения потребителей</t>
  </si>
  <si>
    <t>увеличение мощности и производительности существующих объектов водоотведения и очистки сточных вод за исключением сетей водоотведения и очистки сточных вод, в целях подключения потребителей</t>
  </si>
  <si>
    <t>Ханты-Мансийский автономный округ</t>
  </si>
  <si>
    <t>TYPE_TKO_LIST</t>
  </si>
  <si>
    <t>Херсонская область</t>
  </si>
  <si>
    <t>несортированные</t>
  </si>
  <si>
    <t>Челябинская область</t>
  </si>
  <si>
    <t>сортированные</t>
  </si>
  <si>
    <t>HEAT_IP_EVENT_SUBGROUP_3_LIST</t>
  </si>
  <si>
    <t>VSNA_IP_EVENT_SUBGROUP_3_LIST</t>
  </si>
  <si>
    <t>VOTV_IP_EVENT_SUBGROUP_3_LIST</t>
  </si>
  <si>
    <t>Чеченская республика</t>
  </si>
  <si>
    <t>крупногабаритные</t>
  </si>
  <si>
    <t>реконструкция или модернизация существующих тепловых сетей</t>
  </si>
  <si>
    <t>реконструкция или модернизация существующих сетей водоснабжения</t>
  </si>
  <si>
    <t>реконструкция или модернизация существующих сетей водоотведения и очистки сточных вод</t>
  </si>
  <si>
    <t>Чувашская республика</t>
  </si>
  <si>
    <t>реконструкция или модернизация существующих объектов теплоснабжения, за исключением тепловых сетей</t>
  </si>
  <si>
    <t>реконструкция или модернизация существующих объектов водоснабжения, за исключением сетей водоснабжения</t>
  </si>
  <si>
    <t>реконструкция или модернизация существующих объектов водоотведения и очистки сточных вод, за исключением сетей водоотведения и очистки сточных вод</t>
  </si>
  <si>
    <t>Чукотский автономный округ</t>
  </si>
  <si>
    <t>CLASS_TKO_LIST</t>
  </si>
  <si>
    <t>Ямало-Ненецкий автономный округ</t>
  </si>
  <si>
    <t>Ярославская область</t>
  </si>
  <si>
    <t>HEAT_IP_EVENT_SUBGROUP_5_LIST</t>
  </si>
  <si>
    <t>VSNA_IP_EVENT_SUBGROUP_5_LIST</t>
  </si>
  <si>
    <t>VOTV_IP_EVENT_SUBGROUP_5_LIST</t>
  </si>
  <si>
    <t>III</t>
  </si>
  <si>
    <t>вывод из эксплуатации, консервация и демонтаж тепловых сетей</t>
  </si>
  <si>
    <t>вывод из эксплуатации, консервация и демонтаж сетей водоснабжения</t>
  </si>
  <si>
    <t>вывод из эксплуатации, консервация и демонтаж сетей водоотведения и очистки сточных вод</t>
  </si>
  <si>
    <t>IV</t>
  </si>
  <si>
    <t>вывод из эксплуатации, консервация и демонтаж иных объектов теплоснабжения, за исключением тепловых сетей</t>
  </si>
  <si>
    <t>вывод из эксплуатации, консервация и демонтаж иных объектов водоснабжения, за исключением сетей водоснабжения</t>
  </si>
  <si>
    <t>вывод из эксплуатации, консервация и демонтаж иных объектов водоотведения и очистки сточных вод, за исключением сетей водоотведения и очистки сточных вод</t>
  </si>
  <si>
    <t>V</t>
  </si>
  <si>
    <t>ROIV_INFO_LIST_HEAT</t>
  </si>
  <si>
    <t>HEAT_IP_EVENT_CI_STAGE_LIST</t>
  </si>
  <si>
    <t>VSNA_IP_EVENT_CI_STAGE_LIST</t>
  </si>
  <si>
    <t>VOTV_IP_EVENT_CI_STAGE_LIST</t>
  </si>
  <si>
    <t>OTKO_IP_EVENT_CI_STAGE_LIST</t>
  </si>
  <si>
    <t>информация об органе регулирования и перечень организаций</t>
  </si>
  <si>
    <t>в течение 30 дней со дня изменения такой информации</t>
  </si>
  <si>
    <t>производство тепловой энергии</t>
  </si>
  <si>
    <t>на забор и подъём воды</t>
  </si>
  <si>
    <t>на транспортировку сточных вод</t>
  </si>
  <si>
    <t>сбор</t>
  </si>
  <si>
    <t>доклад о результатах правоприменительной практики</t>
  </si>
  <si>
    <t>не позднее 3 дней со дня утверждения доклада</t>
  </si>
  <si>
    <t>передача теплоэнергии по региональным тепловым сетям</t>
  </si>
  <si>
    <t>на водоподготовку</t>
  </si>
  <si>
    <t>очистка сточных вод</t>
  </si>
  <si>
    <t>накопление</t>
  </si>
  <si>
    <t>дата, время и место проведения заседания об установлении тарифов</t>
  </si>
  <si>
    <t>прочие объекты и мероприятия, относимые к регулируемому виду деятельности</t>
  </si>
  <si>
    <t>на транспортировку воды</t>
  </si>
  <si>
    <t>обращение с осадком сточных вод</t>
  </si>
  <si>
    <t>транспортирование</t>
  </si>
  <si>
    <t>информация о принятых решениях об установлении тарифов</t>
  </si>
  <si>
    <t>обработка</t>
  </si>
  <si>
    <t>информация о принятых решениях об утверждении предельного уровня цены на тепловую энергию (мощность)</t>
  </si>
  <si>
    <t>в течение 10 дней со дня принятия соответствующего решения</t>
  </si>
  <si>
    <t>утилизация</t>
  </si>
  <si>
    <t>протокол заседания правления</t>
  </si>
  <si>
    <t>обезвреживание</t>
  </si>
  <si>
    <t>информация о привлечении к ответственности</t>
  </si>
  <si>
    <t>до 30 апреля года, следующего за отчётным годом</t>
  </si>
  <si>
    <t>размещение отходов</t>
  </si>
  <si>
    <t>энергетическая утилизация</t>
  </si>
  <si>
    <t>UNIT_CONNECT_LIST</t>
  </si>
  <si>
    <t>тыс.руб./Гкал/ч</t>
  </si>
  <si>
    <t>тыс.руб.</t>
  </si>
  <si>
    <t>WARM_IP_EVENT_TYPE_LIST</t>
  </si>
  <si>
    <t>VSNA_IP_EVENT_TYPE_LIST</t>
  </si>
  <si>
    <t>VOTV_IP_EVENT_TYPE_LIST</t>
  </si>
  <si>
    <t>OTKO_IP_EVENT_TYPE_LIST</t>
  </si>
  <si>
    <t>Производство тепловой энергии</t>
  </si>
  <si>
    <t>Водоснабжение</t>
  </si>
  <si>
    <t>Обращение с твердыми коммунальными отходами</t>
  </si>
  <si>
    <t>Прочие объекты и мероприятия, относимые к регулируемому виду деятельности</t>
  </si>
  <si>
    <t>ROIV_INFO_LIST_NO_HEAT</t>
  </si>
  <si>
    <t>HEAT_PT_SCHEME</t>
  </si>
  <si>
    <t>Фамилия, имя и отчество (при наличии) руководителя:</t>
  </si>
  <si>
    <t>фамилия</t>
  </si>
  <si>
    <t>Указывается фамилия руководителя в соответствии с паспортными данными физического лица.</t>
  </si>
  <si>
    <t>имя</t>
  </si>
  <si>
    <t>Указывается имя руководителя в соответствии с паспортными данными физического лица.</t>
  </si>
  <si>
    <t>отчество (при наличии)</t>
  </si>
  <si>
    <t>Указывается отчество руководителя в соответствии с паспортными данными физического лица (при наличии).</t>
  </si>
  <si>
    <t xml:space="preserve">Почтовый адрес </t>
  </si>
  <si>
    <t>Указывается наименование субъекта Российской Федерации, муниципального района, города, иного населенного пункта, улицы, номер дома, при необходимости указывается корпус, строение, литера или дополнительная территория._x000D_
Данные указываются согласно наименованиям адресных объектов в ФИАС.</t>
  </si>
  <si>
    <t xml:space="preserve">Адрес места нахождения </t>
  </si>
  <si>
    <t>Справочные телефоны</t>
  </si>
  <si>
    <t>Указывается номер контактного телефона. В случае наличия нескольких номеров телефонов, информация по каждому из них указывается в отдельной строке.</t>
  </si>
  <si>
    <t>Адрес официального сайта органа регулирования тарифов в сети "Интернет"</t>
  </si>
  <si>
    <t>Указывается адрес официального сайта в сети "Интернет". В случае отсутствия официального сайта в сети "Интернет" указывается "Отсутствует".</t>
  </si>
  <si>
    <t>Адрес электронной почты</t>
  </si>
  <si>
    <t>Указывается при наличии.</t>
  </si>
  <si>
    <t>Наименование организации</t>
  </si>
  <si>
    <t>ОГРН (ОГРНИП)</t>
  </si>
  <si>
    <t>Добавить организацию</t>
  </si>
  <si>
    <t>дата</t>
  </si>
  <si>
    <t>время</t>
  </si>
  <si>
    <t>место</t>
  </si>
  <si>
    <t>Добавить заседание</t>
  </si>
  <si>
    <t>Наименование органа тарифного регулирования</t>
  </si>
  <si>
    <t>Заседание правления (коллегии) органа тарифного регулирования, на котором планируется рассмотрение дел об об утверждении предельного уровня цены на тепловую энергию (мощность)</t>
  </si>
  <si>
    <t>Принятые органом тарифного регулирования решения об утверждении предельного уровня цены на тепловую энергию (мощность), принимаемые в соответствии с Федеральным законом от 27 июля 2010 г. N 190-ФЗ "О теплоснабжении"</t>
  </si>
  <si>
    <t>Добавить должностное лицо</t>
  </si>
  <si>
    <t>Данные об организации, в отношении которой рассмотрено дело об административном правонарушении (общая информация о регулируемой организации и наименование должности)</t>
  </si>
  <si>
    <t xml:space="preserve">Наименование должности лица, в отношении которого рассмотрено дело об административном правонарушении </t>
  </si>
  <si>
    <t>Краткое описание нарушения</t>
  </si>
  <si>
    <t>Результат рассмотрения дела об административном правонарушении</t>
  </si>
  <si>
    <t>Наименование регулируемой организации</t>
  </si>
  <si>
    <t>В поле "Субъект Российской Федерации" указывается наименование субъекта Российской Федерации._x000D_
В поле "Наименование организации" указывается наименование юридического лица согласно уставу организации_x000D_
В поле "ИНН" указывается идентификационный номер налогоплательщика._x000D_
В поле "Краткое описание нарушения" указывается краткое описание нарушения с указанием статьи Кодекса Российской Федерации об административных правонарушениях._x000D_
В поле "Результат рассмотрения дела об административном правонарушении" указывается результат рассмотрения дела об административном правонарушении (с указанием вида административного наказания).</t>
  </si>
  <si>
    <r>
      <t xml:space="preserve">Информация о предоставлении электронного документа в исполнительный орган субъекта Российской Федерации в области государственного регулирования цен (тарифов) </t>
    </r>
    <r>
      <rPr>
        <charset val="204"/>
        <family val="2"/>
        <rFont val="Tahoma"/>
        <sz val="9"/>
        <vertAlign val="superscript"/>
      </rPr>
      <t>2</t>
    </r>
  </si>
  <si>
    <t>Данные электронного документа, подписанного усиленной квалифицированной электронной подписью уполномоченного представителя регулируемой организации</t>
  </si>
  <si>
    <t>Название документа</t>
  </si>
  <si>
    <t>Исходящий номер</t>
  </si>
  <si>
    <t>Дата отправления</t>
  </si>
  <si>
    <t>В колонке "Дата отправления" дата указывается в виде «ДД.ММ.ГГГГ»._x000D_
В колонке «Ссылка на документ» указывается ссылка на электронный документ, подписанный усиленной квалифицированной электронной подписью уполномоченного представителя регулируемой организации, предварительно загруженный в хранилище файлов ФГИС ЕИАС.</t>
  </si>
  <si>
    <r>
      <rPr>
        <charset val="204"/>
        <family val="2"/>
        <rFont val="Tahoma"/>
        <sz val="9"/>
        <vertAlign val="superscript"/>
      </rPr>
      <t>2</t>
    </r>
    <r>
      <rPr>
        <charset val="204"/>
        <family val="2"/>
        <rFont val="Tahoma"/>
        <sz val="9"/>
      </rPr>
      <t xml:space="preserve"> Размещается информация по каждой из форм раскрытия, данные в которой относятся к муниципальному образованию, в котором отсутствует доступ в сеть «Интернет».</t>
    </r>
  </si>
  <si>
    <t>Сведения об изменениях в первоначально опубликованной информации*</t>
  </si>
  <si>
    <t>Сведения</t>
  </si>
  <si>
    <t>Добавить</t>
  </si>
  <si>
    <t>* Лист заполняется в случае, если на Титульном листе в поле "Тип отчета" выбрано значение «Изменения в раскрытой ранее информации».</t>
  </si>
  <si>
    <t>Комментарии</t>
  </si>
  <si>
    <t>Результат проверки</t>
  </si>
  <si>
    <t>Ссылка</t>
  </si>
  <si>
    <t>Причина</t>
  </si>
  <si>
    <t>Статус</t>
  </si>
  <si>
    <t>et_CHANGE_INFO</t>
  </si>
  <si>
    <t>et_Comm</t>
  </si>
  <si>
    <t>et_TERRITORY_AREA</t>
  </si>
  <si>
    <t>et_TERRITORY_MO</t>
  </si>
  <si>
    <t>et_DIFFERENTIATION_VD</t>
  </si>
  <si>
    <t>et_DIFFERENTIATION_AREA</t>
  </si>
  <si>
    <t>et_DIFFERENTIATION_SYSTEM</t>
  </si>
  <si>
    <t>et_ORG_INFO_1</t>
  </si>
  <si>
    <t>et_ORG_INFO_2</t>
  </si>
  <si>
    <t>et_ORG_INFO_3</t>
  </si>
  <si>
    <t>et_ORG_TERRITORY_MO</t>
  </si>
  <si>
    <t>et_ORG_VD</t>
  </si>
  <si>
    <t>et_ED</t>
  </si>
  <si>
    <t>et_TERMS</t>
  </si>
  <si>
    <t>et_IP_MAIN</t>
  </si>
  <si>
    <t>ip_3</t>
  </si>
  <si>
    <t>Добавить реквизиты</t>
  </si>
  <si>
    <t>et_IP_MAIN_PROPERTY</t>
  </si>
  <si>
    <t>et_IP_DETAILED</t>
  </si>
  <si>
    <t>Добавить мероприятие</t>
  </si>
  <si>
    <t>et_IP_DETAILED_OBJECT</t>
  </si>
  <si>
    <t>Добавить источник финансирования</t>
  </si>
  <si>
    <t>et_IP_DETAILED_IST_FIN</t>
  </si>
  <si>
    <t>et_IP_DETAILED_EVENT</t>
  </si>
  <si>
    <t>Добавить объект инфраструктуры</t>
  </si>
  <si>
    <t>et_QRE</t>
  </si>
  <si>
    <t>Добавить цель</t>
  </si>
  <si>
    <t>et_B_FHD20_1_NOT_HEAT</t>
  </si>
  <si>
    <t>et_B_FHD20_1_HEAT</t>
  </si>
  <si>
    <t>et_B_FHD20_2, _3, _4</t>
  </si>
  <si>
    <t>Итого по поставщику, в том числе</t>
  </si>
  <si>
    <t>Добавить товар/услугу</t>
  </si>
  <si>
    <t>Добавить способ</t>
  </si>
  <si>
    <t>et_DIFFERENTIATION_TARIFF(_etc)</t>
  </si>
  <si>
    <t>et_DIFFERENTIATION_TARIFF_NOT_HEAT(_etc)</t>
  </si>
  <si>
    <t>et_DIFFERENTIATION_TKO(_etc)</t>
  </si>
  <si>
    <t>Добавить класс ТКО</t>
  </si>
  <si>
    <t>Добавить вид ТКО</t>
  </si>
  <si>
    <t>Добавить технологическую особенность</t>
  </si>
  <si>
    <t>Имя листа</t>
  </si>
  <si>
    <t>Наименование, номер формы</t>
  </si>
  <si>
    <t>ТП</t>
  </si>
  <si>
    <t>Форма 14. Информация о наличии (об отсутствии) технической возможности подключения (технологического присоединения) к системе теплоснабжения, а также о принятии и ходе рассмотрения заявок на заключение договора о подключении (технологическом присоединении) к системе теплоснабжения</t>
  </si>
  <si>
    <t>Общая информация об организации</t>
  </si>
  <si>
    <t>Форма 1. Информация о единых теплоснабжающих организациях в системе теплоснабжения,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не отнесенных к ценовым зонам теплоснабжения, и в поселениях и городских округах, отнесенных к ценовым зонам теплоснабжения в соответствии с Федеральным законом от 27 июля 2010 г. N 190-ФЗ "О теплоснабжении", до окончания переходного периода в ценовых зонах теплоснабжения (далее - регулируемые организации); о единых теплоснабжающих организациях,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отнесенных к ценовым зонам теплоснабжения в соответствии с Федеральным законом от 27 июля 2010 г. N 190-ФЗ "О теплоснабжении", после окончания переходного периода в ценовых зонах теплоснабжения (далее соответственно - единые теплоснабжающие организации в ценовых зонах теплоснабжения, теплоснабжающие организации в ценовых зонах теплоснабжения и теплосетевые организации в ценовых зонах теплоснабжения) (общая информация)</t>
  </si>
  <si>
    <t>Форма 1. Информация об организации (общая информация)</t>
  </si>
  <si>
    <t>Договоры</t>
  </si>
  <si>
    <t>Форма 15. Информация об условиях, на которых осуществляется поставка товаров (оказание услуг) в сфере теплоснабжения, цены (тарифы) на которые подлежат регулированию, и (или) условиях договоров о подключении (технологическом присоединении) к системе теплоснабжения, информация об условиях, на которых осуществляется поставка товаров (оказание услуг) по ценам, определяемым по соглашению сторон в соответствии с Федеральным законом от 27 июля 2010 г. N 190-ФЗ "О теплоснабжении", и (или) условиях договоров о подключении (технологическом присоединении) к системе теплоснабжения</t>
  </si>
  <si>
    <t>Форма 8. Информация об условиях, на которых осуществляется оказание услуг в области обращения с твердыми коммунальными отходами</t>
  </si>
  <si>
    <t>Показатели ФХД</t>
  </si>
  <si>
    <t>Показатели ФХД &gt;20%</t>
  </si>
  <si>
    <t>Форма 11. Информация о расходах на капитальный и текущий ремонт основных средств</t>
  </si>
  <si>
    <t>Форма 5. Информация о расходах на капитальный и текущий ремонт основных средств, расходах на услуги производственного характера, оказываемые по договорам с организациями на проведение ремонтных работ в рамках технологического процесса</t>
  </si>
  <si>
    <t>Показатели КНЭ</t>
  </si>
  <si>
    <t>Форма 6. Информация об основных потребительских характеристиках товаров (услуг), тарифы на которые подлежат регулированию, и их соответствии установленным требованиям</t>
  </si>
  <si>
    <t>PRICE_x000D_
_x000D_
Т-ТЭ | &gt;=25МВт_x000D_
Т-ТЭ | ТСО_x000D_
Резерв мощности</t>
  </si>
  <si>
    <t>Форма 3. Информация об установленных тарифах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об установленных тарифах на тепловую энергию (мощность), поставляемую теплоснабжающими организациями потребителям, другим теплоснабжающим организациям, об установленной плате за услуги по поддержанию резервной тепловой мощности при отсутствии потребления тепловой энергии</t>
  </si>
  <si>
    <t>PRICE_x000D_
_x000D_
Т-ТН_x000D_
Т-передача ТЭ_x000D_
Т-передача ТН</t>
  </si>
  <si>
    <t>Форма 4. Информация об установленных тарифах на теплоноситель, поставляемый теплоснабжающими организациями потребителям, другим теплоснабжающим организациям, об установленных тарифах на услуги по передаче тепловой энергии, теплоносителя, о тарифах на теплоноситель в виде воды, поставляемый единой теплоснабжающей организацией в ценовых зонах теплоснабжения потребителям и теплоснабжающими организациями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t>
  </si>
  <si>
    <t>PRICE_x000D_
_x000D_
Т-гор.вода</t>
  </si>
  <si>
    <t>Форма 5. Информация об установленных тарифах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 о тарифах на горячую воду, поставляемую единой теплоснабжающей организацией в ценовых зонах теплоснабжения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t>
  </si>
  <si>
    <t>PRICE_x000D_
_x000D_
Т-подкл</t>
  </si>
  <si>
    <t>Форма 6. Информация об установленной плате за подключение (технологическое присоединение) к системе теплоснабжения, о плате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t>
  </si>
  <si>
    <t>REQUEST_x000D_
_x000D_
Т-ТЭ | &gt;=25МВт_x000D_
Т-ТЭ | ТСО_x000D_
Резерв мощности</t>
  </si>
  <si>
    <t>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t>
  </si>
  <si>
    <t>REQUEST_x000D_
_x000D_
Т-ТН_x000D_
Т-передача ТЭ_x000D_
Т-передача ТН</t>
  </si>
  <si>
    <t>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t>
  </si>
  <si>
    <t>REQUEST_x000D_
_x000D_
Т-гор.вода</t>
  </si>
  <si>
    <t>Форма 21. Информация о предложении регулируемой организации о расчетной величине тарифов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 о расчетной величине тарифов на горячую воду, поставляемую единой теплоснабжающей организацией в ценовых зонах теплоснабжения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t>
  </si>
  <si>
    <t>REQUEST_x000D_
_x000D_
Т-подкл</t>
  </si>
  <si>
    <t>Форма 22. Информация о предложении регулируемой организации о расчетной величине платы за подключение (технологическое присоединение) к системе теплоснабжения, о расчетной величине платы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t>
  </si>
  <si>
    <t>PRICE_x000D_
_x000D_
ХВС. Т-пит_x000D_
ХВС. Т-тех_x000D_
ХВС. Т-транс_x000D_
ХВС. Т-подвоз</t>
  </si>
  <si>
    <t>Форма 2. Информация_x000D_
о тарифах в сфере холодного водоснабжения на товары (услуги) организации холодного водоснабжения, подлежащих регулированию</t>
  </si>
  <si>
    <t>PRICE_x000D_
_x000D_
ХВС. Т-подкл</t>
  </si>
  <si>
    <t>Форма 3. Информация об установленных тарифах на подключение (технологическое присоединение) к централизованной системе холодного водоснабжения</t>
  </si>
  <si>
    <t>REQUEST_x000D_
_x000D_
ХВС. Т-пит_x000D_
ХВС. Т-тех_x000D_
ХВС. Т-транс_x000D_
ХВС. Т-подвоз</t>
  </si>
  <si>
    <t>Форма 13. Информация о предложении организации холодного водоснабжения об установлении расчетной величины тарифов в сфере холодного водоснабжения</t>
  </si>
  <si>
    <t>REQUEST_x000D_
_x000D_
ХВС. Т-подкл</t>
  </si>
  <si>
    <t>Форма 14. Информация о предложении организации холодного водоснабжения расчетной величины тарифов на подключение (технологическое присоединение) к централизованной системе холодного водоснабжения</t>
  </si>
  <si>
    <t>PRICE_x000D_
_x000D_
ГВС. Т-гор.вода_x000D_
ГВС. Т-транс</t>
  </si>
  <si>
    <t>Форма 2. Информация о тарифах в сфере горячего водоснабжения на товары (услуги) организации горячего водоснабжения, подлежащих регулированию</t>
  </si>
  <si>
    <t>PRICE_x000D_
_x000D_
ГВС. Т-подкл</t>
  </si>
  <si>
    <t>Форма 3. Информация об установленных тарифах на подключение (технологическое присоединение) к централизованной системе горячего водоснабжения</t>
  </si>
  <si>
    <t>REQUEST_x000D_
_x000D_
ГВС. Т-гор.вода_x000D_
ГВС. Т-транс</t>
  </si>
  <si>
    <t>Форма 13. Информация о предложении организации горячего водоснабжения об установлении расчетной величины тарифов в сфере горячего водоснабжения на очередной период регулирования</t>
  </si>
  <si>
    <t>REQUEST_x000D_
_x000D_
ГВС. Т-подкл</t>
  </si>
  <si>
    <t>Форма 14. Информация о предложении организации горячего водоснабжения расчетной величины тарифов на подключение (технологическое присоединение) к централизованной системе горячего водоснабжения</t>
  </si>
  <si>
    <t>PRICE_x000D_
_x000D_
ВО. Т-во_x000D_
ВО. Т-транс</t>
  </si>
  <si>
    <t>Форма 2. Информация о тарифах в сфере водоотведения на товары (услуги) организации водоотведения, подлежащих регулированию</t>
  </si>
  <si>
    <t>PRICE_x000D_
_x000D_
ВО. Т-подкл</t>
  </si>
  <si>
    <t>Форма 3.  Информация об установленных тарифах на подключение (технологическое присоединение) к централизованной системе водоотведения</t>
  </si>
  <si>
    <t>REQUEST_x000D_
_x000D_
ВО. Т-во_x000D_
ВО. Т-транс</t>
  </si>
  <si>
    <t>Форма 13. Информация о предложении организации водоотведения об установлении расчетной величины тарифов в сфере водоотведения на очередной период регулирования</t>
  </si>
  <si>
    <t>REQUEST_x000D_
_x000D_
ВО. Т-подкл</t>
  </si>
  <si>
    <t>Форма 14. Информация о предложении организации водоотведения расчетной величины тарифов на подключение к централизованной системе водоотведения</t>
  </si>
  <si>
    <t>Сведения о закупках</t>
  </si>
  <si>
    <t>Форма 17. Информация о способах приобретения, стоимости и об объемах товаров, необходимых регулируемой организации для производства товаров (оказания услуг) в сфере теплоснабжения, цены (тарифы) на которые подлежат регулированию, о способах приобретения, стоимости и об объемах товаров, необходимых для производства товаров и (или) оказания услуг единой теплоснабжающей организацией в ценовых зонах теплоснабжения, о способах приобретения, стоимости и об объемах товаров, необходимых для производства товаров и (или) оказания услуг теплоснабжающей организацией в ценовых зонах теплоснабжения и теплосетевой организацией в ценовых зонах теплоснабжения</t>
  </si>
  <si>
    <t>Форма 9.  Информация о способах приобретения, стоимости и об объемах товаров, работ и услуг, необходимых организации для осуществления регулируемых видов деятельности</t>
  </si>
  <si>
    <t>Порядок ТП</t>
  </si>
  <si>
    <t>Форма 16. Информация о порядке выполнения технологических, технических и других мероприятий, связанных с подключением (технологическим присоединением) к системе теплоснабжения</t>
  </si>
  <si>
    <t>Общая информация по ВД</t>
  </si>
  <si>
    <t>Форма 2. Общая информация об объектах теплоснабжения регулируемой организации, единой теплоснабжающей организации в ценовых зонах теплоснабжения, теплоснабжающей организации в ценовых зонах теплоснабжения и теплосетевой организации в ценовых зонах теплоснабжения</t>
  </si>
  <si>
    <t>ИП_x000D_
ИП. Детализация_x000D_
ИП. Финансовый план_x000D_
ИП. КНЭ</t>
  </si>
  <si>
    <t>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t>
  </si>
  <si>
    <t>Форма 7. Информация об инвестиционных программах и отчетах об их реализации (в части регулируемых видов деятельности)</t>
  </si>
  <si>
    <t>пункт НПА</t>
  </si>
  <si>
    <t>подпункт НПА</t>
  </si>
  <si>
    <t>состав пункта</t>
  </si>
  <si>
    <t>описание парметров</t>
  </si>
  <si>
    <t>номер пункта</t>
  </si>
  <si>
    <t>описание параметров</t>
  </si>
  <si>
    <t>описание к листу Общая информация об организации</t>
  </si>
  <si>
    <t>В случае если регулируемыми организациями,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оказываются услуги по теплоснабжению по нескольким технологически не связанным между собой централизованным системам теплоснабжения, и если в отношении указанных систем устанавливаются различные тарифы в сфере теплоснабжения, то информация раскрывается отдельно по каждой централизованной системе теплоснабжения.</t>
  </si>
  <si>
    <t>В случае если регулируемыми организациями оказываются услуги по холодному водоснабжению по нескольким технологически не связанным между собой централизованным системам холодного водоснабжения, и если в отношении указанных систем устанавливаются различные тарифы в сфере холодного водоснабжения, то информация раскрывается отдельно по каждой централизованной системе холодного водоснабжения.</t>
  </si>
  <si>
    <t>В случае если регулируемыми организациями оказываются услуги по горячему водоснабжению по нескольким технологически не связанным между собой централизованным системам горячего водоснабжения, и если в отношении указанных систем устанавливаются различные тарифы в сфере горячего водоснабжения, то информация раскрывается отдельно по каждой централизованной системе горячего водоснабжения.</t>
  </si>
  <si>
    <t>В случае если регулируемыми организациями оказываются услуги по водоотведению по нескольким технологически не связанным между собой централизованным системам водоотведения, и если в отношении указанных систем устанавливаются различные тарифы в сфере водоотведения, то информация раскрывается отдельно по каждой централизованной системе водоотведения.</t>
  </si>
  <si>
    <t>66</t>
  </si>
  <si>
    <t>а</t>
  </si>
  <si>
    <t>Количество поданных заявок</t>
  </si>
  <si>
    <t xml:space="preserve">Количество поданных заявлений </t>
  </si>
  <si>
    <t>Указывается количество поданных заявок на подключение (технологическое присоединение) к системе теплоснабжения в течение отчетного квартала.</t>
  </si>
  <si>
    <t>б</t>
  </si>
  <si>
    <t>Количество рассмотренных заявок</t>
  </si>
  <si>
    <t xml:space="preserve">Количество исполненных заявлений </t>
  </si>
  <si>
    <t>Указывается количество исполненных заявок на подключение (технологическое присоединение) к системе теплоснабжения в течение отчетного квартала.</t>
  </si>
  <si>
    <t>в</t>
  </si>
  <si>
    <t>Количество заявок на заключение договора о подключении (технологическом присоединении) к системе теплоснабжения, по которым регулируемой организацией отказано в заключении договора о подключении (технологическом присоединении) к системе теплоснабжения</t>
  </si>
  <si>
    <t>Количество заявлений о заключении договоров о подключении (технологическом присоединении), по которым отказано в заключении договора о подключении (технологическом присоединении)</t>
  </si>
  <si>
    <t>Указывается количество заявок с решением об отказе в течение отчетного квартала.</t>
  </si>
  <si>
    <t>Причины отказа в заключении договора о подключении (технологическом присоединении) к системе теплоснабжения</t>
  </si>
  <si>
    <t>Указывается текстовое описание причин принятия решений._x000D_
Не заполняется в случае, если решения об отказе в течение отчетного периода не принимались.</t>
  </si>
  <si>
    <t>г</t>
  </si>
  <si>
    <t>Резерв мощности источников тепловой энергии, входящих в систему теплоснабжения, в течение одного квартала, в том числе:</t>
  </si>
  <si>
    <t xml:space="preserve">Указывается резерв мощности для системы теплоснабжения, тариф для которой не является отличным от тарифов других систем теплоснабжения регулируемой организации._x000D_
При использовании регулируемой организацией нескольких систем теплоснабжения информация о резерве мощности источников тепловой энергии таких систем раскрывается в отношении каждой системы теплоснабжения в отдельных строках. </t>
  </si>
  <si>
    <t>Выручка от регулируемого вида деятельности с распределением по видам деятельности</t>
  </si>
  <si>
    <t>Выручка от регулируемых видов деятельности в сфере холодного водоснабжения</t>
  </si>
  <si>
    <t>Выручка от регулируемых видов деятельности в сфере горячего водоснабжения</t>
  </si>
  <si>
    <t>Выручка от регулируемых видов деятельности в сфере водоотведения</t>
  </si>
  <si>
    <t>Указывается выручка от регулируемого вида деятельности с распределением по видам деятельности.</t>
  </si>
  <si>
    <t>Указывается выручка с распределением по видам деятельности.</t>
  </si>
  <si>
    <t>Себестоимость производимых товаров (оказываемых услуг) по регулируемому виду деятельности, включая:</t>
  </si>
  <si>
    <t>Себестоимость производимых товаров (оказываемых услуг) по регулируемым видам деятельности в сфере холодного водоснабжения, включая:</t>
  </si>
  <si>
    <t>Себестоимость производимых товаров (оказываемых услуг) по регулируемым видам деятельности в сфере горячего водоснабжения, включая:</t>
  </si>
  <si>
    <t>Себестоимость производимых товаров (оказываемых услуг) по регулируемым видам деятельности в сфере водоотведения, включая:</t>
  </si>
  <si>
    <t>Указывается суммарная себестоимость производимых товаров.</t>
  </si>
  <si>
    <t>Расходы на приобретаемую тепловую энергию (мощность), теплоноситель</t>
  </si>
  <si>
    <t>Расходы на оплату холодной воды, приобретаемой у других организаций для последующей подачи потребителям</t>
  </si>
  <si>
    <t>Расходы на приобретаемую тепловую энергию (мощность), используемую для горячего водоснабжения</t>
  </si>
  <si>
    <t>Расходы на оплату услуг по приему, транспортировке и очистке сточных вод другими организациями</t>
  </si>
  <si>
    <t>Расходы на топливо с указанием по каждому виду топлива стоимости (за единицу объема), объема и способа его приобретения, стоимости его доставки</t>
  </si>
  <si>
    <t>Указываются суммарные расходы на приобретение топлива всех видов.</t>
  </si>
  <si>
    <t>Расходы на тепловую энергию, производимую с применением собственных источников и используемую для горячего водоснабжения</t>
  </si>
  <si>
    <t>Расходы на приобретаемую холодную воду, используемую для горячего водоснабжения</t>
  </si>
  <si>
    <t>Расходы на холодную воду, получаемую с применением собственных источников водозабора (скважин) и используемую для горячего водоснабжения</t>
  </si>
  <si>
    <t>Расходы на приобретаемую электрическую энергию (мощность), используемую в технологическом процессе</t>
  </si>
  <si>
    <t>2.5.1</t>
  </si>
  <si>
    <t>Средневзвешенная стоимость 1 кВт.ч (с учетом мощности)</t>
  </si>
  <si>
    <t>2.5.2</t>
  </si>
  <si>
    <t>Объём приобретения электрической энергии</t>
  </si>
  <si>
    <t>Расходы на приобретение холодной воды, используемой в технологическом процессе</t>
  </si>
  <si>
    <t>Расходы на химические реагенты, используемые в технологическом процессе</t>
  </si>
  <si>
    <t>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t>
  </si>
  <si>
    <t>Указывается общая сумма расходов на оплату труда и отчислений на социальные нужды основного производственного персонала.</t>
  </si>
  <si>
    <t>9.1</t>
  </si>
  <si>
    <t>2.6.1</t>
  </si>
  <si>
    <t>Расходы на оплату труда основного производственного персонала</t>
  </si>
  <si>
    <t>9.2</t>
  </si>
  <si>
    <t>2.6.2</t>
  </si>
  <si>
    <t>Страховые взносы на обязательное социальное страхование, выплачиваемые из фонда оплаты труда основного производственного персонала</t>
  </si>
  <si>
    <t>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t>
  </si>
  <si>
    <t>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t>
  </si>
  <si>
    <t>Указывается общая сумма расходов на оплату труда и отчислений на социальные нужды административно-управленческого персонала.</t>
  </si>
  <si>
    <t>10.1</t>
  </si>
  <si>
    <t>2.7.1</t>
  </si>
  <si>
    <t>Расходы на оплату труда административно-управленческого персонала</t>
  </si>
  <si>
    <t>Расходы на оплату труда административно-управленческого персонала, в том числе:</t>
  </si>
  <si>
    <t>10.2</t>
  </si>
  <si>
    <t>2.7.2</t>
  </si>
  <si>
    <t>Страховые взносы на обязательное социальное страхование, выплачиваемые из фонда оплаты труда административно-управленческого персонала</t>
  </si>
  <si>
    <t>Расходы на амортизацию основных средств и нематериальных активов</t>
  </si>
  <si>
    <t>11.1</t>
  </si>
  <si>
    <t>2.8.1</t>
  </si>
  <si>
    <t>Расходы на амортизацию основных средств</t>
  </si>
  <si>
    <t>11.2</t>
  </si>
  <si>
    <t>2.8.2</t>
  </si>
  <si>
    <t>Расходы на амортизацию нематериальных активов</t>
  </si>
  <si>
    <t>Расходы на аренду имущества, используемого для осуществления регулируемого вида деятельности</t>
  </si>
  <si>
    <t>Расходы на аренду имущества, используемого для осуществления регулируемых видов деятельности в сфере холодного водоснабжения</t>
  </si>
  <si>
    <t>Расходы на аренду имущества, используемого для осуществления регулируемых видов деятельности в сфере горячего водоснабжения</t>
  </si>
  <si>
    <t>Расходы на аренду имущества, используемого для осуществления регулируемых видов деятельности в сфере водоотведения</t>
  </si>
  <si>
    <t>2.10</t>
  </si>
  <si>
    <t>Общепроизводственные расходы, в том числе:</t>
  </si>
  <si>
    <t>Указывается общая сумма общепроизводственных расходов.</t>
  </si>
  <si>
    <t>13.1</t>
  </si>
  <si>
    <t>2.10.1</t>
  </si>
  <si>
    <t>Расходы на текущий ремонт</t>
  </si>
  <si>
    <t>Указываются расходы на текущий ремонт, отнесенные к общепроизводственным расходам.</t>
  </si>
  <si>
    <t>13.2</t>
  </si>
  <si>
    <t>2.10.2</t>
  </si>
  <si>
    <t>Расходы на капитальный ремонт</t>
  </si>
  <si>
    <t>Указываются расходы на капитальный ремонт, отнесенные к общепроизводственным расходам.</t>
  </si>
  <si>
    <t>2.11</t>
  </si>
  <si>
    <t>Общехозяйственные расходы, в том числе:</t>
  </si>
  <si>
    <t>Указывается общая сумма общехозяйственных расходов.</t>
  </si>
  <si>
    <t>14.1</t>
  </si>
  <si>
    <t>2.11.1</t>
  </si>
  <si>
    <t>2.9.1</t>
  </si>
  <si>
    <t>Указываются расходы на текущий ремонт, отнесенные к общехозяйственным расходам.</t>
  </si>
  <si>
    <t>14.2</t>
  </si>
  <si>
    <t>2.11.2</t>
  </si>
  <si>
    <t>2.9.2</t>
  </si>
  <si>
    <t>Указываются расходы на капитальный ремонт, отнесенные к общехозяйственным расходам.</t>
  </si>
  <si>
    <t>2.12</t>
  </si>
  <si>
    <t>Расходы на капитальный и текущий ремонт основных средств</t>
  </si>
  <si>
    <t>Указывается информация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t>
  </si>
  <si>
    <t>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t>
  </si>
  <si>
    <t>15.1</t>
  </si>
  <si>
    <t>2.12.1</t>
  </si>
  <si>
    <t>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t>
  </si>
  <si>
    <t>2.13</t>
  </si>
  <si>
    <t xml:space="preserve">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 </t>
  </si>
  <si>
    <t>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t>
  </si>
  <si>
    <t>16.1</t>
  </si>
  <si>
    <t>2.13.1</t>
  </si>
  <si>
    <t>2.14</t>
  </si>
  <si>
    <t>Прочие расходы, которые подлежат отнесению на регулируемые виды деятельности в соответствии с законодательством Российской Федерации</t>
  </si>
  <si>
    <t>Прочие расходы, которые подлежат отнесению на регулируемые виды деятельности в сфере холодного водоснабжения в соответствии с Основами ценообразования в сфере водоснабжения и водоотведения, утвержденными постановлением Правительства Российской Федерации от 13 мая 2013 г. N 406 "О государственном регулировании тарифов в сфере водоснабжения и водоотведения" (далее - Основы ценообразования в сфере водоснабжения и водоотведения)</t>
  </si>
  <si>
    <t>Прочие расходы, которые отнесены на регулируемые виды деятельности в сфере горячего водоснабжения, в соответствии с Основами ценообразования в сфере водоснабжения и водоотведения</t>
  </si>
  <si>
    <t>Прочие расходы, которые подлежат отнесению на регулируемые виды деятельности в сфере водоотведения в соответствии с Основами ценообразования в сфере водоснабжения и водоотведения</t>
  </si>
  <si>
    <t>Указывается общая сумма прочих расходов, которые подлежат отнесению на регулируемые виды деятельности в соответствии с законодательством в сфере теплоснабжения.</t>
  </si>
  <si>
    <t>Указывается общая сумма прочих расходов, которые подлежат отнесению на регулируемые виды деятельности в соответствии с основами ценообразования в сфере водоснабжения и водоотведения.</t>
  </si>
  <si>
    <t>д</t>
  </si>
  <si>
    <t>Валовая прибыль (убытки) от реализации товаров и оказания услуг по регулируемому виду деятельности</t>
  </si>
  <si>
    <t>Чистая прибыль, полученная от регулируемого вида деятельности, в том числе:</t>
  </si>
  <si>
    <t>Чистая прибыль, полученная от регулируемого вида деятельности в сфере холодного водоснабжения, в том числе:</t>
  </si>
  <si>
    <t>Чистая прибыль, полученная от регулируемого вида деятельности в сфере горячего водоснабжения, в том числе:</t>
  </si>
  <si>
    <t>Чистая прибыль, полученная от регулируемого вида деятельности в сфере водоотведения, в том числе:</t>
  </si>
  <si>
    <t>Размер расходования чистой прибыли на финансирование мероприятий, предусмотренных инвестиционной программой регулируемой организации</t>
  </si>
  <si>
    <t>Изменение стоимости основных фондов за счет их ввода в эксплуатацию (вывода из эксплуатации)</t>
  </si>
  <si>
    <t>Указываются общее изменение стоимости основных фондов за счет их ввода в эксплуатацию и вывода из эксплуатации.</t>
  </si>
  <si>
    <t>Изменение стоимости основных фондов за счет их ввода в эксплуатацию</t>
  </si>
  <si>
    <t>5.1.2</t>
  </si>
  <si>
    <t>Изменение стоимости основных фондов за счет их вывода в эксплуатацию</t>
  </si>
  <si>
    <t>Изменение стоимости основных фондов за счет их переоценки</t>
  </si>
  <si>
    <t>Валовая прибыль (убытки) от продажи товаров и услуг по регулируемым видам деятельности в сфере холодного водоснабжения</t>
  </si>
  <si>
    <t>Валовая прибыль (убытки) от продажи товаров и услуг по регулируемым видам деятельности в сфере горячего водоснабжения</t>
  </si>
  <si>
    <t>Валовая прибыль (убытки) от продажи товаров и услуг по регулируемым видам деятельности в сфере водоотведения</t>
  </si>
  <si>
    <t>е</t>
  </si>
  <si>
    <t>Указывается ссылка на документ, предварительно загруженный в хранилище файлов ФГИС ЕИАС._x000D_
Регулируемыми организациями информация раскрывается в случае, если выручка от регулируемых видов деятельности превышает 80 процентов совокупной выручки за отчетный год.</t>
  </si>
  <si>
    <t>Указывается ссылка на документ, предварительно загруженный в хранилище файлов ФГИС ЕИАС._x000D_
Раскрывается регулируемой организацией, выручка от регулируемых видов деятельности в сфере водоснабжения и (или) водоотведения которой превышает 80 процентов совокупной выручки за отчетный год.</t>
  </si>
  <si>
    <t>Указывается ссылка на документ, предварительно загруженный в хранилище файлов ФГИС ЕИАС._x000D_
Раскрывается регулируемой организацией, выручка от регулируемых видов деятельности в сфере водоотведения и (или) водоотведения которой превышает 80 процентов совокупной выручки за отчетный год.</t>
  </si>
  <si>
    <t>ж</t>
  </si>
  <si>
    <t>Объём поднятой воды</t>
  </si>
  <si>
    <t>з</t>
  </si>
  <si>
    <t>Объём покупной воды</t>
  </si>
  <si>
    <t>и</t>
  </si>
  <si>
    <t>Объём воды, пропущенной через очистные сооружения</t>
  </si>
  <si>
    <t>к</t>
  </si>
  <si>
    <t>Объём отпущенной потребителям воды, в том числе:</t>
  </si>
  <si>
    <t>Указывается общий объем отпущенной потребителям воды.</t>
  </si>
  <si>
    <t>Объём отпущенной потребителям воды, определенный по приборам учета</t>
  </si>
  <si>
    <t>Объём отпущенной потребителям воды, определенный расчетным способом</t>
  </si>
  <si>
    <t>10.2.1</t>
  </si>
  <si>
    <t>Объём отпущенной потребителям воды, определенный по нормативам потребления коммунальных услуг</t>
  </si>
  <si>
    <t>10.2.2</t>
  </si>
  <si>
    <t xml:space="preserve">Объём отпущенной потребителям воды, определенный по нормативам потребления коммунальных ресурсов </t>
  </si>
  <si>
    <t>л</t>
  </si>
  <si>
    <t>Потери воды в сетях</t>
  </si>
  <si>
    <t>Объём приобретаемой холодной воды, используемой для горячего водоснабжения</t>
  </si>
  <si>
    <t>Объём холодной воды, получаемой с применением собственных источников водозабора (скважин) и используемой для горячего водоснабжения</t>
  </si>
  <si>
    <t>Объём приобретаемой тепловой энергии (мощности), используемой для горячего водоснабжения</t>
  </si>
  <si>
    <t>Объём тепловой энергии, производимой с применением собственных источников и используемой для горячего водоснабжения</t>
  </si>
  <si>
    <t>Потери горячей воды в сетях (процентов)</t>
  </si>
  <si>
    <t>Объём сточных вод, принятых от потребителей</t>
  </si>
  <si>
    <t>Объём сточных вод, принятых от других регулируемых организаций, осуществляющих водоотведение и (или) очистку сточных вод</t>
  </si>
  <si>
    <t>Объём сточных вод, пропущенных через очистные сооружения</t>
  </si>
  <si>
    <t>Указывается суммарная установленная тепловая мощность объектов основных фондов, используемых для осуществления теплоснабжения._x000D_
Регулируемыми организациями указывается информация по объектам, используемым для осуществления регулируемых видов деятельности.</t>
  </si>
  <si>
    <t>Тепловая нагрузка по договорам, заключенным в рамках осуществления регулируемых видов деятельности</t>
  </si>
  <si>
    <t>Регулируемыми организациями указывается информация по договорам, заключенным в рамках осуществления регулируемых видов деятельности</t>
  </si>
  <si>
    <t>Объем вырабатываемой регулируемой организацией тепловой энергии в рамках осуществления регулируемых видов деятельности</t>
  </si>
  <si>
    <t>Регулируемыми организациями указывается информация тепловой энергии, выработанной в рамках осуществления регулируемых видов деятельности.</t>
  </si>
  <si>
    <t>Объем приобретаемой регулируемой организацией тепловой энергии в рамках осуществления регулируемых видов деятельности</t>
  </si>
  <si>
    <t>Информация указывается только едиными теплоснабжающими организациями.</t>
  </si>
  <si>
    <t>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t>
  </si>
  <si>
    <t>Указывается общий объем тепловой энергии, отпускаемой потребителям._x000D_
Регулируемыми организациями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t>
  </si>
  <si>
    <t xml:space="preserve">По приборам учёта </t>
  </si>
  <si>
    <t>10.1.1</t>
  </si>
  <si>
    <t>Определенный по приборам учета объем тепловой энергии, отпускаемой по договорам потребителям, максимальный объем потребления тепловой энергии объектов которых составляет менее чем 0,2 Гкал</t>
  </si>
  <si>
    <t>Расчётным путём</t>
  </si>
  <si>
    <t>10.3</t>
  </si>
  <si>
    <t>По нормативам потребления коммунальных услуг и нормативам потребления коммунальных ресурсов</t>
  </si>
  <si>
    <t>м</t>
  </si>
  <si>
    <t>Нормативы технологических потерь при передаче тепловой энергии, теплоносителя по тепловым сетям, утвержденные уполномоченным органом</t>
  </si>
  <si>
    <t>н</t>
  </si>
  <si>
    <t>о</t>
  </si>
  <si>
    <t>п</t>
  </si>
  <si>
    <t>Удельный расход электрической энергии на подачу воды в сеть</t>
  </si>
  <si>
    <t>Расход воды на собственные нужды, в том числе:</t>
  </si>
  <si>
    <t>Указывается доля общего расхода воды на собственные нужны от объема отпуска воды потребителям.</t>
  </si>
  <si>
    <t>Расход воды на хозяйственно-бытовые нужды</t>
  </si>
  <si>
    <t>Указывается доля расхода воды на хозяйственно-бытовые нужны от объема отпуска воды потребителям.</t>
  </si>
  <si>
    <t>Показатель использования производственных объектов (по объему перекачки), в том числе:</t>
  </si>
  <si>
    <t>Указывается суммарный показатель использования по всем производственным объектам как процент объема перекачки по отношению к пиковому дню отчетного года.</t>
  </si>
  <si>
    <t>р</t>
  </si>
  <si>
    <t>Норматив удельного расхода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t>
  </si>
  <si>
    <t>Фактический удельный расход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t>
  </si>
  <si>
    <t>Регулируемыми организациями указывается информация с распределением по источникам тепловой энергии, используемым для осуществления регулируемых видов деятельности.</t>
  </si>
  <si>
    <t>т</t>
  </si>
  <si>
    <t>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t>
  </si>
  <si>
    <t>Регулируемыми организациями указывается информация с по договорам, заключенным в рамках осуществления регулируемой деятельности.</t>
  </si>
  <si>
    <t>у</t>
  </si>
  <si>
    <t>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t>
  </si>
  <si>
    <t>ф</t>
  </si>
  <si>
    <t>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t>
  </si>
  <si>
    <t>19.1</t>
  </si>
  <si>
    <t>Информация о показателях физического износа объектов теплоснабжения</t>
  </si>
  <si>
    <t>19.2</t>
  </si>
  <si>
    <t>Информация о показателях энергетической эффективности объектов теплоснабжения</t>
  </si>
  <si>
    <t>27/44</t>
  </si>
  <si>
    <t>68</t>
  </si>
  <si>
    <t>Сведения об условиях публичных договоров регулируемых организаций,  сведения об условиях публичных договоров, заключаемых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в том числе</t>
  </si>
  <si>
    <t>Сведения об условиях публичных договоров на оказание регулируемых услуг в области обращения с твердыми коммунальными отходами</t>
  </si>
  <si>
    <t>Форма 4. Информация об установленных тарифах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об установленных тарифах на тепловую энергию (мощность), поставляемую теплоснабжающими организациями потребителям, другим теплоснабжающим организациям, об установленной плате за услуги по поддержанию резервной тепловой мощности при отсутствии потребления тепловой энергии  &lt;1&gt;</t>
  </si>
  <si>
    <t>Период действия тарифа</t>
  </si>
  <si>
    <t>Добавить наименование системы теплоснабжения</t>
  </si>
  <si>
    <t>pt_vtar_3</t>
  </si>
  <si>
    <t xml:space="preserve">Для каждого вида тарифа в сфере теплоснабжения форма заполняется отдельно. При размещении информации по данной форме дополнительно указываются: наименование органа регулирования тарифов, принявшего решение об утверждении тарифа, дата и номер документа об утверждении тарифа, источник официального опубликования решения._x000D_
</t>
  </si>
  <si>
    <t>По данной форме раскрывается в том числе информация об индикативном предельном уровне цены на тепловую энергию (мощность), которые определены в соответствии с Правилами определения в ценовых зонах теплоснабжения предельного уровня цены на тепловую энергию (мощность), включая правила индексации предельного уровня цены на тепловую энергию (мощность), утвержденными постановлением Правительства Российской Федерации от 15 декабря 2017 г. № 1562 "Об определении в ценовых зонах теплоснабжения предельного уровня цены на тепловую энергию (мощность), включая индексацию предельного уровня цены на тепловую энергию (мощность), и технико-экономических параметров работы котельных и тепловых сетей, используемых для расчета предельного уровня цены на тепловую энергию (мощность)", о графике поэтапного равномерного доведения предельного уровня цены на тепловую энергию (мощность) до уровня, определяемого в соответствии с указанными Правилами., а также  информация о тарифах на товары (услуги) в сфере теплоснабжения в случаях, указанных в частях 12.1 – 12.4 статьи 10 Федерального закона от 27.07.2010 № 190-ФЗ «О теплоснабжении» (далее – Федеральный закон № 190-ФЗ), теплоснабжающей организации, теплосетевой организации в ценовых зонах теплоснабжения.</t>
  </si>
  <si>
    <t>Цвет</t>
  </si>
  <si>
    <t>Раздел</t>
  </si>
  <si>
    <t>доп.листы</t>
  </si>
  <si>
    <t>готовность</t>
  </si>
  <si>
    <t>ИП</t>
  </si>
  <si>
    <t>REGION_ID</t>
  </si>
  <si>
    <t>REGION_NAME</t>
  </si>
  <si>
    <t>RST_ORG_ID</t>
  </si>
  <si>
    <t>ORG_NAME</t>
  </si>
  <si>
    <t>INN_NAME</t>
  </si>
  <si>
    <t>KPP_NAME</t>
  </si>
  <si>
    <t>ORG_START_DATE</t>
  </si>
  <si>
    <t>ORG_END_DATE</t>
  </si>
  <si>
    <t>SPHERE</t>
  </si>
  <si>
    <t>2608</t>
  </si>
  <si>
    <t>31687154</t>
  </si>
  <si>
    <t>АДМИНИСТРАЦИЯ БАБАЕВСКОГО МУНИЦИПАЛЬНОГО ОКРУГА</t>
  </si>
  <si>
    <t>3501009105</t>
  </si>
  <si>
    <t>350101001</t>
  </si>
  <si>
    <t>31397324</t>
  </si>
  <si>
    <t>АО "АВТОДОРГРУПП"</t>
  </si>
  <si>
    <t>3525373625</t>
  </si>
  <si>
    <t>352501001</t>
  </si>
  <si>
    <t>26356175</t>
  </si>
  <si>
    <t>АО "Агроскон"</t>
  </si>
  <si>
    <t>3525015193</t>
  </si>
  <si>
    <t>30989954</t>
  </si>
  <si>
    <t>АО "Апатит"</t>
  </si>
  <si>
    <t>5103070023</t>
  </si>
  <si>
    <t>997550001</t>
  </si>
  <si>
    <t>01-11-2017 00:00:00</t>
  </si>
  <si>
    <t>31243814</t>
  </si>
  <si>
    <t>АО "ВОЛОГДАГОРТЕПЛОСЕТЬ"</t>
  </si>
  <si>
    <t>3525432983</t>
  </si>
  <si>
    <t>14-11-2018 00:00:00</t>
  </si>
  <si>
    <t>26356179</t>
  </si>
  <si>
    <t>АО "ВОМЗ"</t>
  </si>
  <si>
    <t>3525023010</t>
  </si>
  <si>
    <t>14-04-1994 00:00:00</t>
  </si>
  <si>
    <t>28068715</t>
  </si>
  <si>
    <t>АО "Вологдаоблэнерго"</t>
  </si>
  <si>
    <t>3525372678</t>
  </si>
  <si>
    <t>09-01-2013 00:00:00</t>
  </si>
  <si>
    <t>28069815</t>
  </si>
  <si>
    <t>АО "Вологдаоблэнерго", обособленное подразделение в г. Белозерск</t>
  </si>
  <si>
    <t>350343001</t>
  </si>
  <si>
    <t>28069932</t>
  </si>
  <si>
    <t>АО "Вологдаоблэнерго", обособленное подразделение в г.Вытегра</t>
  </si>
  <si>
    <t>350843001</t>
  </si>
  <si>
    <t>28447730</t>
  </si>
  <si>
    <t>АО "Вологдаоблэнерго", обособленное подразделение в г.Харовск</t>
  </si>
  <si>
    <t>352143001</t>
  </si>
  <si>
    <t>15-11-2013 00:00:00</t>
  </si>
  <si>
    <t>26356178</t>
  </si>
  <si>
    <t>АО "Вологодский лесохимический завод"</t>
  </si>
  <si>
    <t>3525019141</t>
  </si>
  <si>
    <t>30335229</t>
  </si>
  <si>
    <t>АО "ГУ ЖКХ"</t>
  </si>
  <si>
    <t>5116000922</t>
  </si>
  <si>
    <t>770401001</t>
  </si>
  <si>
    <t>30406184</t>
  </si>
  <si>
    <t>АО "ПАТП-2"</t>
  </si>
  <si>
    <t>3525023500</t>
  </si>
  <si>
    <t>31036209</t>
  </si>
  <si>
    <t>АО "Племзавод Родина"</t>
  </si>
  <si>
    <t>3507313172</t>
  </si>
  <si>
    <t>350701001</t>
  </si>
  <si>
    <t>10-03-2017 00:00:00</t>
  </si>
  <si>
    <t>26838066</t>
  </si>
  <si>
    <t>АО "РЭУ"</t>
  </si>
  <si>
    <t>7714783092</t>
  </si>
  <si>
    <t>26428912</t>
  </si>
  <si>
    <t>АО "Северсталь Дистрибуция"</t>
  </si>
  <si>
    <t>3528015184</t>
  </si>
  <si>
    <t>352801001</t>
  </si>
  <si>
    <t>26356182</t>
  </si>
  <si>
    <t>АО "Совхоз "Заречье"</t>
  </si>
  <si>
    <t>3525079214</t>
  </si>
  <si>
    <t>26356213</t>
  </si>
  <si>
    <t>АО "Сокольский ДОК"</t>
  </si>
  <si>
    <t>3527008949</t>
  </si>
  <si>
    <t>352701001</t>
  </si>
  <si>
    <t>20-04-2000 00:00:00</t>
  </si>
  <si>
    <t>30376681</t>
  </si>
  <si>
    <t>АО "Сокольский ЦБК"</t>
  </si>
  <si>
    <t>3527000989</t>
  </si>
  <si>
    <t>26356063</t>
  </si>
  <si>
    <t>АО "ТЭЦ "Белый Ручей"</t>
  </si>
  <si>
    <t>3508005131</t>
  </si>
  <si>
    <t>350801001</t>
  </si>
  <si>
    <t>27747936</t>
  </si>
  <si>
    <t>АО "Учебно-опытный молочный завод" ВГМХА имени Н.В. Верещагина"</t>
  </si>
  <si>
    <t>3525279862</t>
  </si>
  <si>
    <t>26356224</t>
  </si>
  <si>
    <t>АО "Череповецкий ФМК"</t>
  </si>
  <si>
    <t>3528006408</t>
  </si>
  <si>
    <t>26356163</t>
  </si>
  <si>
    <t>АО "Шексна - Теплосеть"</t>
  </si>
  <si>
    <t>3524012697</t>
  </si>
  <si>
    <t>352401001</t>
  </si>
  <si>
    <t>27565956</t>
  </si>
  <si>
    <t>АО «НордЭнерго»</t>
  </si>
  <si>
    <t>7804348591</t>
  </si>
  <si>
    <t>470301001</t>
  </si>
  <si>
    <t>26356166</t>
  </si>
  <si>
    <t>АО ААК "Вологдаагрострой"</t>
  </si>
  <si>
    <t>3525000888</t>
  </si>
  <si>
    <t>26356207</t>
  </si>
  <si>
    <t>АО ПК "Вологодский"</t>
  </si>
  <si>
    <t>3527000555</t>
  </si>
  <si>
    <t>26434664</t>
  </si>
  <si>
    <t>АУ СО ВО «Устюженский дом социального обслуживания для граждан пожилого возраста и инвалидов»</t>
  </si>
  <si>
    <t>3520001800</t>
  </si>
  <si>
    <t>352001001</t>
  </si>
  <si>
    <t>31683259</t>
  </si>
  <si>
    <t>Администрация Верховажского муниципального округа</t>
  </si>
  <si>
    <t>3505005790</t>
  </si>
  <si>
    <t>350501001</t>
  </si>
  <si>
    <t>31334952</t>
  </si>
  <si>
    <t>Администрация Нелазского сельского поселения</t>
  </si>
  <si>
    <t>3523014123</t>
  </si>
  <si>
    <t>352301001</t>
  </si>
  <si>
    <t>29-10-2014 00:00:00</t>
  </si>
  <si>
    <t>26356161</t>
  </si>
  <si>
    <t>БОУ ВО "Специальное учебно-воспитательное учреждение"</t>
  </si>
  <si>
    <t>3524003607</t>
  </si>
  <si>
    <t>26356076</t>
  </si>
  <si>
    <t>БОУ ДОД КМР ВО "Кирилловская детская школа искусств"</t>
  </si>
  <si>
    <t>3511002370</t>
  </si>
  <si>
    <t>351101001</t>
  </si>
  <si>
    <t>28815480</t>
  </si>
  <si>
    <t>БПОУ  ВО "Белозерский индустриально-педагогический колледж им. А.А. Желобовского"</t>
  </si>
  <si>
    <t>3503001493</t>
  </si>
  <si>
    <t>350301001</t>
  </si>
  <si>
    <t>30870639</t>
  </si>
  <si>
    <t>БУ СО ВО "Вогнемский психоневрологический интернат"</t>
  </si>
  <si>
    <t>3511001909</t>
  </si>
  <si>
    <t>23-02-1995 00:00:00</t>
  </si>
  <si>
    <t>26785092</t>
  </si>
  <si>
    <t>БУ СО ВО "Психоневрологический интернат "Сосновая Роща"</t>
  </si>
  <si>
    <t>3527002785</t>
  </si>
  <si>
    <t>30864629</t>
  </si>
  <si>
    <t>БУ СО ВО «Кадниковский центр помощи детям, оставшимся без попечения родителей, № 4»</t>
  </si>
  <si>
    <t>3527002873</t>
  </si>
  <si>
    <t>20-03-2000 00:00:00</t>
  </si>
  <si>
    <t>26785028</t>
  </si>
  <si>
    <t>БУСО ВО "Кадниковский дом-интернат для умственно отсталых детей"</t>
  </si>
  <si>
    <t>3527002880</t>
  </si>
  <si>
    <t>26356170</t>
  </si>
  <si>
    <t>Бабушкинское ДРСУ  "Вологодавтодор"</t>
  </si>
  <si>
    <t>3525011978</t>
  </si>
  <si>
    <t>350202001</t>
  </si>
  <si>
    <t>26381517</t>
  </si>
  <si>
    <t>Вологодская дистанция гражданских сооружений – структурное подразделение Северной дирекции по эксплуатации зданий и сооружений – структурного подразделения Северной железной дороги – филиала ОАО «РЖД»</t>
  </si>
  <si>
    <t>7708503727</t>
  </si>
  <si>
    <t>352545077</t>
  </si>
  <si>
    <t>27566200</t>
  </si>
  <si>
    <t>Вологодский вагоноремонтный завод - обособленное структурное подразделение АО  «ВРК-1»</t>
  </si>
  <si>
    <t>7708737490</t>
  </si>
  <si>
    <t>352545001</t>
  </si>
  <si>
    <t>26966335</t>
  </si>
  <si>
    <t>Вологодский завод ЖБК и СД СМТ №5  филиал  АО "РЖДстрой"</t>
  </si>
  <si>
    <t>7708587205</t>
  </si>
  <si>
    <t>352531001</t>
  </si>
  <si>
    <t>26381516</t>
  </si>
  <si>
    <t>Вологодский региональный производственный участок Северной дирекции по тепловодоснабжению  - структурного подразделения Центральной дирекции по тепловодоснабжению -  филиала ОАО «РЖД»</t>
  </si>
  <si>
    <t>991660001</t>
  </si>
  <si>
    <t>26319641</t>
  </si>
  <si>
    <t>Вологодский филиал ПАО «Россети Северо-Запад»</t>
  </si>
  <si>
    <t>7802312751</t>
  </si>
  <si>
    <t>352502001</t>
  </si>
  <si>
    <t>07-03-2008 00:00:00</t>
  </si>
  <si>
    <t>26356174</t>
  </si>
  <si>
    <t>ГЭП "ВОКЭ"</t>
  </si>
  <si>
    <t>3525014344</t>
  </si>
  <si>
    <t>353501001</t>
  </si>
  <si>
    <t>26594091</t>
  </si>
  <si>
    <t>ГЭП «Вологдаоблкоммунэнерго»</t>
  </si>
  <si>
    <t>27684137</t>
  </si>
  <si>
    <t>ДТВЦ-6 Октябрьской железной дороги - филиала ОАО "РЖД"</t>
  </si>
  <si>
    <t>28873874</t>
  </si>
  <si>
    <t>ИП Андронов А.Н.</t>
  </si>
  <si>
    <t>352800526886</t>
  </si>
  <si>
    <t>21-11-2012 00:00:00</t>
  </si>
  <si>
    <t>26760990</t>
  </si>
  <si>
    <t>ИП Горохов С.Ж.</t>
  </si>
  <si>
    <t>440101211808</t>
  </si>
  <si>
    <t>13-10-2004 00:00:00</t>
  </si>
  <si>
    <t>26785758</t>
  </si>
  <si>
    <t>ИП Елоева Н.Н.</t>
  </si>
  <si>
    <t>352200133241</t>
  </si>
  <si>
    <t>31040760</t>
  </si>
  <si>
    <t>ИП Камышева Татьяна Николаевна</t>
  </si>
  <si>
    <t>352813231223</t>
  </si>
  <si>
    <t>14-09-2017 00:00:00</t>
  </si>
  <si>
    <t>28872608</t>
  </si>
  <si>
    <t>ИП Лукьянов Андрей Леонидович</t>
  </si>
  <si>
    <t>352101238324</t>
  </si>
  <si>
    <t>15-09-2014 00:00:00</t>
  </si>
  <si>
    <t>28883141</t>
  </si>
  <si>
    <t>ИП Новожилов С.А.</t>
  </si>
  <si>
    <t>352801303360</t>
  </si>
  <si>
    <t>27569338</t>
  </si>
  <si>
    <t>Кирилловское ДРСУ ОАО "Вологдаавтодор"</t>
  </si>
  <si>
    <t>26356016</t>
  </si>
  <si>
    <t>МБОУ "Борисовская СОШ"</t>
  </si>
  <si>
    <t>3501004629</t>
  </si>
  <si>
    <t>26413321</t>
  </si>
  <si>
    <t>МБОУ "Тороповская СОШ"</t>
  </si>
  <si>
    <t>3501004386</t>
  </si>
  <si>
    <t>31039190</t>
  </si>
  <si>
    <t>МБУ Вожегодского Муниципального района "ЦОМУ"</t>
  </si>
  <si>
    <t>3506005016</t>
  </si>
  <si>
    <t>350601001</t>
  </si>
  <si>
    <t>18-01-2016 00:00:00</t>
  </si>
  <si>
    <t>МИНИСТЕРСТВО ЭНЕРГЕТИКИ, КОММУНАЛЬНОЙ ИНФРАСТРУКТУРЫ И ТАРИФНОГО РЕГУЛИРОВАНИЯ ВОЛОГОДСКОЙ ОБЛАСТИ</t>
  </si>
  <si>
    <t>3525236925</t>
  </si>
  <si>
    <t>31649652</t>
  </si>
  <si>
    <t>МКП "ЖКХ-Тарнога"</t>
  </si>
  <si>
    <t>3517004617</t>
  </si>
  <si>
    <t>351701001</t>
  </si>
  <si>
    <t>31741488</t>
  </si>
  <si>
    <t>МКП "Коммунальная система"</t>
  </si>
  <si>
    <t>3505005888</t>
  </si>
  <si>
    <t>23-08-2023 00:00:00</t>
  </si>
  <si>
    <t>31043680</t>
  </si>
  <si>
    <t>МКУ "ЦКОД"</t>
  </si>
  <si>
    <t>3528243825</t>
  </si>
  <si>
    <t>31355103</t>
  </si>
  <si>
    <t>МКУ «МФЦ»</t>
  </si>
  <si>
    <t>3511006801</t>
  </si>
  <si>
    <t>30375003</t>
  </si>
  <si>
    <t>МП  "Служба Благоустройства"</t>
  </si>
  <si>
    <t>3508009922</t>
  </si>
  <si>
    <t>31267383</t>
  </si>
  <si>
    <t>МП "Борисовский коммунальщик"</t>
  </si>
  <si>
    <t>3501008895</t>
  </si>
  <si>
    <t>01-02-2019 00:00:00</t>
  </si>
  <si>
    <t>31037976</t>
  </si>
  <si>
    <t>МП "Водоканал"</t>
  </si>
  <si>
    <t>3515004851</t>
  </si>
  <si>
    <t>351501001</t>
  </si>
  <si>
    <t>17-05-2017 00:00:00</t>
  </si>
  <si>
    <t>26356066</t>
  </si>
  <si>
    <t>МП "Мегорский ЖЭУ"</t>
  </si>
  <si>
    <t>3508006537</t>
  </si>
  <si>
    <t>30-12-2005 00:00:00</t>
  </si>
  <si>
    <t>31363219</t>
  </si>
  <si>
    <t>МП «Коммунальные системы»</t>
  </si>
  <si>
    <t>3519004901</t>
  </si>
  <si>
    <t>351901001</t>
  </si>
  <si>
    <t>28445167</t>
  </si>
  <si>
    <t>МП «Пяжозерское ЖКХ»</t>
  </si>
  <si>
    <t>3501008341</t>
  </si>
  <si>
    <t>26788333</t>
  </si>
  <si>
    <t>МУ "Комплексный Центр социального обслуживания населения" Вожегодского района</t>
  </si>
  <si>
    <t>3506001759</t>
  </si>
  <si>
    <t>26356194</t>
  </si>
  <si>
    <t>МУ ВОФП "Санаторий Бобровниково"</t>
  </si>
  <si>
    <t>3526004282</t>
  </si>
  <si>
    <t>352601001</t>
  </si>
  <si>
    <t>26356015</t>
  </si>
  <si>
    <t>МУ санаторий "Каменная гора"</t>
  </si>
  <si>
    <t>3501001297</t>
  </si>
  <si>
    <t>26356032</t>
  </si>
  <si>
    <t>МУП "Бабушкинская теплосеть"</t>
  </si>
  <si>
    <t>3502004519</t>
  </si>
  <si>
    <t>350201001</t>
  </si>
  <si>
    <t>31423667</t>
  </si>
  <si>
    <t>МУП "ЖКХ ВЕГА"</t>
  </si>
  <si>
    <t>3510010450</t>
  </si>
  <si>
    <t>351001001</t>
  </si>
  <si>
    <t>31566620</t>
  </si>
  <si>
    <t>МУП "ЖКХ п.Хохлово"</t>
  </si>
  <si>
    <t>3510006703</t>
  </si>
  <si>
    <t>30902520</t>
  </si>
  <si>
    <t>МУП "Кадуй Теплосеть"</t>
  </si>
  <si>
    <t>3510008411</t>
  </si>
  <si>
    <t>31547162</t>
  </si>
  <si>
    <t>МУП "Коммунальные сети"</t>
  </si>
  <si>
    <t>3520009735</t>
  </si>
  <si>
    <t>01-07-2021 00:00:00</t>
  </si>
  <si>
    <t>26757791</t>
  </si>
  <si>
    <t>МУП "Коммунальные системы"</t>
  </si>
  <si>
    <t>3527016080</t>
  </si>
  <si>
    <t>05-03-2010 00:00:00</t>
  </si>
  <si>
    <t>26356132</t>
  </si>
  <si>
    <t>МУП "Коммунальщик"</t>
  </si>
  <si>
    <t>3520006854</t>
  </si>
  <si>
    <t>10-02-2005 00:00:00</t>
  </si>
  <si>
    <t>31691419</t>
  </si>
  <si>
    <t>МУП "Коммуникации"</t>
  </si>
  <si>
    <t>3513003852</t>
  </si>
  <si>
    <t>351301001</t>
  </si>
  <si>
    <t>26356094</t>
  </si>
  <si>
    <t>МУП "Никольские теплосети"</t>
  </si>
  <si>
    <t>3514006119</t>
  </si>
  <si>
    <t>351401001</t>
  </si>
  <si>
    <t>21-01-2025 00:00:00</t>
  </si>
  <si>
    <t>31036176</t>
  </si>
  <si>
    <t>МУП "Районные Теплосети"</t>
  </si>
  <si>
    <t>3520009397</t>
  </si>
  <si>
    <t>01-08-2017 00:00:00</t>
  </si>
  <si>
    <t>31229820</t>
  </si>
  <si>
    <t>МУП "Ресурс"</t>
  </si>
  <si>
    <t>3526036358</t>
  </si>
  <si>
    <t>11-09-2018 00:00:00</t>
  </si>
  <si>
    <t>31267308</t>
  </si>
  <si>
    <t>МУП "ТеплоЭнергетик"</t>
  </si>
  <si>
    <t>3504003447</t>
  </si>
  <si>
    <t>350401001</t>
  </si>
  <si>
    <t>31764033</t>
  </si>
  <si>
    <t>МУП "Теплоэнергия"</t>
  </si>
  <si>
    <t>3528005355</t>
  </si>
  <si>
    <t>19-01-2000 00:00:00</t>
  </si>
  <si>
    <t>26356222</t>
  </si>
  <si>
    <t>353950001</t>
  </si>
  <si>
    <t>31034589</t>
  </si>
  <si>
    <t>МУП "Тотемские Тепловые Системы"</t>
  </si>
  <si>
    <t>3518007265</t>
  </si>
  <si>
    <t>351801001</t>
  </si>
  <si>
    <t>26-07-2017 00:00:00</t>
  </si>
  <si>
    <t>31034675</t>
  </si>
  <si>
    <t>МУП "Универсалсервис"</t>
  </si>
  <si>
    <t>3522004475</t>
  </si>
  <si>
    <t>352201001</t>
  </si>
  <si>
    <t>13-08-2015 00:00:00</t>
  </si>
  <si>
    <t>26372041</t>
  </si>
  <si>
    <t>МУП "Управление ЖКХ п. Вохтога"</t>
  </si>
  <si>
    <t>3509000520</t>
  </si>
  <si>
    <t>350901001</t>
  </si>
  <si>
    <t>26446385</t>
  </si>
  <si>
    <t>МУП "ЭТС"</t>
  </si>
  <si>
    <t>3509000143</t>
  </si>
  <si>
    <t>07-07-2003 00:00:00</t>
  </si>
  <si>
    <t>31379474</t>
  </si>
  <si>
    <t>МУП «Водоканал Череповецкого муниципального района»</t>
  </si>
  <si>
    <t>3523023311</t>
  </si>
  <si>
    <t>31232053</t>
  </si>
  <si>
    <t>МУП «ТехКомСервис»</t>
  </si>
  <si>
    <t>3510010241</t>
  </si>
  <si>
    <t>25-05-2018 00:00:00</t>
  </si>
  <si>
    <t>17-02-2025 00:00:00</t>
  </si>
  <si>
    <t>31197006</t>
  </si>
  <si>
    <t>МУП «Универсал»</t>
  </si>
  <si>
    <t>3522004644</t>
  </si>
  <si>
    <t>26-09-2018 00:00:00</t>
  </si>
  <si>
    <t>31565669</t>
  </si>
  <si>
    <t>МУП ГП КМР ВО "Коммунальные системы"</t>
  </si>
  <si>
    <t>3511007178</t>
  </si>
  <si>
    <t>13-12-2021 00:00:00</t>
  </si>
  <si>
    <t>31662926</t>
  </si>
  <si>
    <t>МУП ЖКХ "Новленское" ВМО</t>
  </si>
  <si>
    <t>3507316818</t>
  </si>
  <si>
    <t>26356054</t>
  </si>
  <si>
    <t>МУП ЖКХ ВМО "Федотово"</t>
  </si>
  <si>
    <t>3507010900</t>
  </si>
  <si>
    <t>21-04-2000 00:00:00</t>
  </si>
  <si>
    <t>31038192</t>
  </si>
  <si>
    <t>МУП ЖКХ СМР «Сямженское ЖКХ»</t>
  </si>
  <si>
    <t>3516004438</t>
  </si>
  <si>
    <t>351601001</t>
  </si>
  <si>
    <t>01-01-2018 00:00:00</t>
  </si>
  <si>
    <t>31208779</t>
  </si>
  <si>
    <t>МУП Междуреченского муниципального района «Жилищник 2»</t>
  </si>
  <si>
    <t>3513002457</t>
  </si>
  <si>
    <t>26356052</t>
  </si>
  <si>
    <t>МЧУ профсоюзов санаторий «Новый источник»</t>
  </si>
  <si>
    <t>3507009976</t>
  </si>
  <si>
    <t>26356197</t>
  </si>
  <si>
    <t>НАО "СВЕЗА Новатор"</t>
  </si>
  <si>
    <t>3526016400</t>
  </si>
  <si>
    <t>28969193</t>
  </si>
  <si>
    <t>26814895</t>
  </si>
  <si>
    <t>ОАО "РЖД" (Октябрьская дирекция по тепловодоснабжению - СП Центральной дирекции по тепловодоснабжению - филиала ОАО "РЖД")</t>
  </si>
  <si>
    <t>780445015</t>
  </si>
  <si>
    <t>01-04-2011 00:00:00</t>
  </si>
  <si>
    <t>26360948</t>
  </si>
  <si>
    <t>ОАО "Ростелеком"</t>
  </si>
  <si>
    <t>7707049388</t>
  </si>
  <si>
    <t>352543001</t>
  </si>
  <si>
    <t>28057205</t>
  </si>
  <si>
    <t>ОАО "Северное молоко"</t>
  </si>
  <si>
    <t>3509010494</t>
  </si>
  <si>
    <t>26356176</t>
  </si>
  <si>
    <t>ОАО "Северный коммунар"</t>
  </si>
  <si>
    <t>3525017031</t>
  </si>
  <si>
    <t>26356168</t>
  </si>
  <si>
    <t>ОАО "Стройиндустрия"</t>
  </si>
  <si>
    <t>3525008750</t>
  </si>
  <si>
    <t>28456920</t>
  </si>
  <si>
    <t>ОАО "Строймеханизация"</t>
  </si>
  <si>
    <t>3528008902</t>
  </si>
  <si>
    <t>28487755</t>
  </si>
  <si>
    <t>ОАО «Вологодавтодор»</t>
  </si>
  <si>
    <t>28455378</t>
  </si>
  <si>
    <t>ОАО «Сервис-Центр»</t>
  </si>
  <si>
    <t>3525149863</t>
  </si>
  <si>
    <t>31264054</t>
  </si>
  <si>
    <t>ОБЩЕСТВО С ОГРАНИЧЕННОЙ ОТВЕТСТВЕННОСТЬЮ "ЭНЕРГОТЕХПРОМ"</t>
  </si>
  <si>
    <t>3525129627</t>
  </si>
  <si>
    <t>26356145</t>
  </si>
  <si>
    <t>ООО  ЖКХ "Лукинское"</t>
  </si>
  <si>
    <t>3522004154</t>
  </si>
  <si>
    <t>26356193</t>
  </si>
  <si>
    <t>ООО "АНИКОР+"</t>
  </si>
  <si>
    <t>3528140474</t>
  </si>
  <si>
    <t>30865408</t>
  </si>
  <si>
    <t>ООО "Альянс"</t>
  </si>
  <si>
    <t>3525265718</t>
  </si>
  <si>
    <t>22-09-2016 00:00:00</t>
  </si>
  <si>
    <t>26419446</t>
  </si>
  <si>
    <t>ООО "Аспект-В"</t>
  </si>
  <si>
    <t>3507305573</t>
  </si>
  <si>
    <t>28445862</t>
  </si>
  <si>
    <t>ООО "БиоТеплоРесурс"</t>
  </si>
  <si>
    <t>3528192169</t>
  </si>
  <si>
    <t>26356017</t>
  </si>
  <si>
    <t>ООО "Борисово-Судская ПМК-3"</t>
  </si>
  <si>
    <t>3501006993</t>
  </si>
  <si>
    <t>28875119</t>
  </si>
  <si>
    <t>ООО "ВА Теплоэнергия"</t>
  </si>
  <si>
    <t>3508009591</t>
  </si>
  <si>
    <t>28252317</t>
  </si>
  <si>
    <t>ООО "ВАС-Сервис"</t>
  </si>
  <si>
    <t>3525146541</t>
  </si>
  <si>
    <t>31243034</t>
  </si>
  <si>
    <t>ООО "ВТС"</t>
  </si>
  <si>
    <t>3505005574</t>
  </si>
  <si>
    <t>03-05-2017 00:00:00</t>
  </si>
  <si>
    <t>26780045</t>
  </si>
  <si>
    <t>ООО "ВладиСтройКомфорт"</t>
  </si>
  <si>
    <t>3525186880</t>
  </si>
  <si>
    <t>31043528</t>
  </si>
  <si>
    <t>ООО "Водоканал-35"</t>
  </si>
  <si>
    <t>3507312517</t>
  </si>
  <si>
    <t>19-08-2016 00:00:00</t>
  </si>
  <si>
    <t>28148315</t>
  </si>
  <si>
    <t>ООО "Возрождение"</t>
  </si>
  <si>
    <t>3521100137</t>
  </si>
  <si>
    <t>352101001</t>
  </si>
  <si>
    <t>30378711</t>
  </si>
  <si>
    <t>ООО "Вологодский комбинат хлебопродуктов"</t>
  </si>
  <si>
    <t>3525291370</t>
  </si>
  <si>
    <t>26356196</t>
  </si>
  <si>
    <t>ООО "Вотчина"</t>
  </si>
  <si>
    <t>3526019786</t>
  </si>
  <si>
    <t>26356069</t>
  </si>
  <si>
    <t>ООО "Вохтога-инженерные системы"</t>
  </si>
  <si>
    <t>3509009308</t>
  </si>
  <si>
    <t>25-08-0008 00:00:00</t>
  </si>
  <si>
    <t>26356062</t>
  </si>
  <si>
    <t>ООО "Вытегорский межхозяйственный ЛПХ"</t>
  </si>
  <si>
    <t>3508004882</t>
  </si>
  <si>
    <t>26356154</t>
  </si>
  <si>
    <t>ООО "Газпром теплоэнерго Вологда"</t>
  </si>
  <si>
    <t>3523011161</t>
  </si>
  <si>
    <t>26439612</t>
  </si>
  <si>
    <t>ООО "Газпром трансгаз Ухта"</t>
  </si>
  <si>
    <t>1102024468</t>
  </si>
  <si>
    <t>110201001</t>
  </si>
  <si>
    <t>30-06-1999 00:00:00</t>
  </si>
  <si>
    <t>26429338</t>
  </si>
  <si>
    <t>350902001</t>
  </si>
  <si>
    <t>26431752</t>
  </si>
  <si>
    <t>ООО "Газпром трансгаз Ухта" Нюксенское ЛПУМГ</t>
  </si>
  <si>
    <t>351502001</t>
  </si>
  <si>
    <t>26783606</t>
  </si>
  <si>
    <t>ООО "Газпром трансгаз Ухта" Приводинское ЛПУМГ</t>
  </si>
  <si>
    <t>291302001</t>
  </si>
  <si>
    <t>27-08-2002 00:00:00</t>
  </si>
  <si>
    <t>26434110</t>
  </si>
  <si>
    <t>ООО "Газпром трансгаз Ухта" Юбилейное  ЛПУМГ</t>
  </si>
  <si>
    <t>351802001</t>
  </si>
  <si>
    <t>26372069</t>
  </si>
  <si>
    <t>ООО "Городищенское ЖКХ"</t>
  </si>
  <si>
    <t>3515003600</t>
  </si>
  <si>
    <t>26356215</t>
  </si>
  <si>
    <t>ООО "Гортеплосеть плюс"</t>
  </si>
  <si>
    <t>3527011155</t>
  </si>
  <si>
    <t>26356201</t>
  </si>
  <si>
    <t>ООО "ЖКО села Усть-Алексеево"</t>
  </si>
  <si>
    <t>3526018581</t>
  </si>
  <si>
    <t>26356144</t>
  </si>
  <si>
    <t>ООО "ЖКХ  Покровское"</t>
  </si>
  <si>
    <t>3522003827</t>
  </si>
  <si>
    <t>26356025</t>
  </si>
  <si>
    <t>ООО "ЖКХ Борисовское"</t>
  </si>
  <si>
    <t>3501006489</t>
  </si>
  <si>
    <t>26371998</t>
  </si>
  <si>
    <t>ООО "ЖКХ Пожарское"</t>
  </si>
  <si>
    <t>3501006471</t>
  </si>
  <si>
    <t>26356021</t>
  </si>
  <si>
    <t>ООО "ЖКХ Санинское"</t>
  </si>
  <si>
    <t>3501006425</t>
  </si>
  <si>
    <t>26356020</t>
  </si>
  <si>
    <t>ООО "ЖКХ Тимошинское"</t>
  </si>
  <si>
    <t>3501006418</t>
  </si>
  <si>
    <t>26356085</t>
  </si>
  <si>
    <t>ООО "ЖКХ Шиндалово"</t>
  </si>
  <si>
    <t>3511005540</t>
  </si>
  <si>
    <t>26759099</t>
  </si>
  <si>
    <t>ООО "ЖКХ с. Васильевское"</t>
  </si>
  <si>
    <t>3526023944</t>
  </si>
  <si>
    <t>26450234</t>
  </si>
  <si>
    <t>ООО "ЖилКомСервис"</t>
  </si>
  <si>
    <t>3519003601</t>
  </si>
  <si>
    <t>26382282</t>
  </si>
  <si>
    <t>ООО "Жилищник"</t>
  </si>
  <si>
    <t>3503012294</t>
  </si>
  <si>
    <t>26833135</t>
  </si>
  <si>
    <t>3512004229</t>
  </si>
  <si>
    <t>351201001</t>
  </si>
  <si>
    <t>28873254</t>
  </si>
  <si>
    <t>ООО "Жилкомплект"</t>
  </si>
  <si>
    <t>3511000711</t>
  </si>
  <si>
    <t>27871598</t>
  </si>
  <si>
    <t>ООО "Жилкомсервис"</t>
  </si>
  <si>
    <t>3525280233</t>
  </si>
  <si>
    <t>26356192</t>
  </si>
  <si>
    <t>ООО "Западная котельная"</t>
  </si>
  <si>
    <t>3525135395</t>
  </si>
  <si>
    <t>28857279</t>
  </si>
  <si>
    <t>ООО "Звезда"</t>
  </si>
  <si>
    <t>3503003973</t>
  </si>
  <si>
    <t>30881155</t>
  </si>
  <si>
    <t>ООО "Инжиниринг"</t>
  </si>
  <si>
    <t>3528228425</t>
  </si>
  <si>
    <t>14-04-2015 00:00:00</t>
  </si>
  <si>
    <t>30395387</t>
  </si>
  <si>
    <t>ООО "Кадниковтеплосеть"</t>
  </si>
  <si>
    <t>3525351075</t>
  </si>
  <si>
    <t>28048841</t>
  </si>
  <si>
    <t>ООО "Капиталъ"</t>
  </si>
  <si>
    <t>3508007530</t>
  </si>
  <si>
    <t>28965909</t>
  </si>
  <si>
    <t>ООО "Коммунальные системы"</t>
  </si>
  <si>
    <t>4401161193</t>
  </si>
  <si>
    <t>440101001</t>
  </si>
  <si>
    <t>21-04-2015 00:00:00</t>
  </si>
  <si>
    <t>26372146</t>
  </si>
  <si>
    <t>ООО "Красавинские электротеплосети"</t>
  </si>
  <si>
    <t>3526018341</t>
  </si>
  <si>
    <t>26372047</t>
  </si>
  <si>
    <t>ООО "Липовское ЖКХ"</t>
  </si>
  <si>
    <t>3511005484</t>
  </si>
  <si>
    <t>27620816</t>
  </si>
  <si>
    <t>ООО "Ломоватское ЖКХ"</t>
  </si>
  <si>
    <t>3526028798</t>
  </si>
  <si>
    <t>31232649</t>
  </si>
  <si>
    <t>ООО "Луч"</t>
  </si>
  <si>
    <t>3520009365</t>
  </si>
  <si>
    <t>26757863</t>
  </si>
  <si>
    <t>ООО "Макарцево-лес"</t>
  </si>
  <si>
    <t>3505004059</t>
  </si>
  <si>
    <t>31831482</t>
  </si>
  <si>
    <t>ООО "НИКОЛЬСКИЕ ТЕПЛОСЕТИ"</t>
  </si>
  <si>
    <t>3500012176</t>
  </si>
  <si>
    <t>350001001</t>
  </si>
  <si>
    <t>28273946</t>
  </si>
  <si>
    <t>ООО "Надежда"</t>
  </si>
  <si>
    <t>3520008964</t>
  </si>
  <si>
    <t>26356086</t>
  </si>
  <si>
    <t>ООО "Николоторжское ЖКХ"</t>
  </si>
  <si>
    <t>3511005558</t>
  </si>
  <si>
    <t>26757903</t>
  </si>
  <si>
    <t>ООО "Никольский жилищно-коммунальный сервис"</t>
  </si>
  <si>
    <t>3514007680</t>
  </si>
  <si>
    <t>26356199</t>
  </si>
  <si>
    <t>ООО "Новатор-Сервис"</t>
  </si>
  <si>
    <t>3526018126</t>
  </si>
  <si>
    <t>26770993</t>
  </si>
  <si>
    <t>ООО "Новое"</t>
  </si>
  <si>
    <t>3510008612</t>
  </si>
  <si>
    <t>26431677</t>
  </si>
  <si>
    <t>ООО "Нюксенские  ЭТС"</t>
  </si>
  <si>
    <t>3515003304</t>
  </si>
  <si>
    <t>27832536</t>
  </si>
  <si>
    <t>ООО "Осень"</t>
  </si>
  <si>
    <t>3503011290</t>
  </si>
  <si>
    <t>26780034</t>
  </si>
  <si>
    <t>ООО "ППТК-Логистика"</t>
  </si>
  <si>
    <t>3525169919</t>
  </si>
  <si>
    <t>28511535</t>
  </si>
  <si>
    <t>ООО "ПРИОРИТЕТ"</t>
  </si>
  <si>
    <t>3521100754</t>
  </si>
  <si>
    <t>26356151</t>
  </si>
  <si>
    <t>ООО "Предприятие Агропромэнерго"</t>
  </si>
  <si>
    <t>3523001011</t>
  </si>
  <si>
    <t>28273886</t>
  </si>
  <si>
    <t>ООО "Промметастрой"</t>
  </si>
  <si>
    <t>3528054024</t>
  </si>
  <si>
    <t>30375016</t>
  </si>
  <si>
    <t>ООО "Ремслужба"</t>
  </si>
  <si>
    <t>3526024916</t>
  </si>
  <si>
    <t>26426918</t>
  </si>
  <si>
    <t>ООО "Росавтосервис"</t>
  </si>
  <si>
    <t>3525272433</t>
  </si>
  <si>
    <t>28273813</t>
  </si>
  <si>
    <t>ООО "Северная Сосна"</t>
  </si>
  <si>
    <t>3513003436</t>
  </si>
  <si>
    <t>27567332</t>
  </si>
  <si>
    <t>ООО "Северсталь Трубопрофильный завод - Шексна"</t>
  </si>
  <si>
    <t>3524014020</t>
  </si>
  <si>
    <t>26372125</t>
  </si>
  <si>
    <t>ООО "Северстрой"</t>
  </si>
  <si>
    <t>3523012743</t>
  </si>
  <si>
    <t>26419574</t>
  </si>
  <si>
    <t>ООО "Сосны"</t>
  </si>
  <si>
    <t>3507305037</t>
  </si>
  <si>
    <t>12-11-2007 00:00:00</t>
  </si>
  <si>
    <t>27569322</t>
  </si>
  <si>
    <t>ООО "Стройкомплект"</t>
  </si>
  <si>
    <t>3511006008</t>
  </si>
  <si>
    <t>28945694</t>
  </si>
  <si>
    <t>ООО "Сухонский КБК"</t>
  </si>
  <si>
    <t>3519003961</t>
  </si>
  <si>
    <t>26356096</t>
  </si>
  <si>
    <t>ООО "Сямженская ПМК"</t>
  </si>
  <si>
    <t>3516001540</t>
  </si>
  <si>
    <t>26382294</t>
  </si>
  <si>
    <t>ООО "Сямженский водопровод"</t>
  </si>
  <si>
    <t>3516002977</t>
  </si>
  <si>
    <t>31241595</t>
  </si>
  <si>
    <t>ООО "ТеплоДарСервис"</t>
  </si>
  <si>
    <t>3525419460</t>
  </si>
  <si>
    <t>08-02-2018 00:00:00</t>
  </si>
  <si>
    <t>31213891</t>
  </si>
  <si>
    <t>ООО "ТеплоРесурс"</t>
  </si>
  <si>
    <t>3528262722</t>
  </si>
  <si>
    <t>19-09-2016 00:00:00</t>
  </si>
  <si>
    <t>31041579</t>
  </si>
  <si>
    <t>ООО "ТеплоСтрой"</t>
  </si>
  <si>
    <t>3527021724</t>
  </si>
  <si>
    <t>23-05-2016 00:00:00</t>
  </si>
  <si>
    <t>28799411</t>
  </si>
  <si>
    <t>ООО "ТеплоЭнергоСбыт"</t>
  </si>
  <si>
    <t>3525284855</t>
  </si>
  <si>
    <t>26356035</t>
  </si>
  <si>
    <t>ООО "Тепловик"</t>
  </si>
  <si>
    <t>3504010469</t>
  </si>
  <si>
    <t>26755934</t>
  </si>
  <si>
    <t>ООО "Тепловик-Ресурс"</t>
  </si>
  <si>
    <t>3507306520</t>
  </si>
  <si>
    <t>28106388</t>
  </si>
  <si>
    <t>ООО "Теплоисточник"</t>
  </si>
  <si>
    <t>3525291919</t>
  </si>
  <si>
    <t>26356148</t>
  </si>
  <si>
    <t>ООО "Теплосервис"</t>
  </si>
  <si>
    <t>3522003792</t>
  </si>
  <si>
    <t>26814566</t>
  </si>
  <si>
    <t>3526022524</t>
  </si>
  <si>
    <t>01-10-2007 00:00:00</t>
  </si>
  <si>
    <t>27774424</t>
  </si>
  <si>
    <t>ООО "Теплосети"</t>
  </si>
  <si>
    <t>3509010744</t>
  </si>
  <si>
    <t>26356100</t>
  </si>
  <si>
    <t>ООО "Теплосеть Заборье"</t>
  </si>
  <si>
    <t>3517803881</t>
  </si>
  <si>
    <t>26356158</t>
  </si>
  <si>
    <t>ООО "Теплосеть-3"</t>
  </si>
  <si>
    <t>3523015737</t>
  </si>
  <si>
    <t>26356187</t>
  </si>
  <si>
    <t>ООО "Теплосила"</t>
  </si>
  <si>
    <t>3525111919</t>
  </si>
  <si>
    <t>28446240</t>
  </si>
  <si>
    <t>ООО "Теплострой"</t>
  </si>
  <si>
    <t>3518009858</t>
  </si>
  <si>
    <t>26356157</t>
  </si>
  <si>
    <t>ООО "Теплоэнергия"</t>
  </si>
  <si>
    <t>3523014349</t>
  </si>
  <si>
    <t>28444589</t>
  </si>
  <si>
    <t>ООО "Торговый Дом Эффект"</t>
  </si>
  <si>
    <t>3525292550</t>
  </si>
  <si>
    <t>31044037</t>
  </si>
  <si>
    <t>ООО "Тэвис"</t>
  </si>
  <si>
    <t>3528228471</t>
  </si>
  <si>
    <t>15-04-2015 00:00:00</t>
  </si>
  <si>
    <t>30384118</t>
  </si>
  <si>
    <t>ООО "УК "Великий Устюг"</t>
  </si>
  <si>
    <t>3526031670</t>
  </si>
  <si>
    <t>26814835</t>
  </si>
  <si>
    <t>ООО "Управляющая компания Транзит"</t>
  </si>
  <si>
    <t>3526018302</t>
  </si>
  <si>
    <t>26356099</t>
  </si>
  <si>
    <t>ООО "Услуга"</t>
  </si>
  <si>
    <t>3517803874</t>
  </si>
  <si>
    <t>30852251</t>
  </si>
  <si>
    <t>ООО "Устье Теплосеть"</t>
  </si>
  <si>
    <t>3519004637</t>
  </si>
  <si>
    <t>26430068</t>
  </si>
  <si>
    <t>ООО "Феникс"</t>
  </si>
  <si>
    <t>3511011583</t>
  </si>
  <si>
    <t>26356134</t>
  </si>
  <si>
    <t>ООО "Харовсклеспром"</t>
  </si>
  <si>
    <t>3521004049</t>
  </si>
  <si>
    <t>16-01-2001 00:00:00</t>
  </si>
  <si>
    <t>31196231</t>
  </si>
  <si>
    <t>ООО "ЧЗМК"</t>
  </si>
  <si>
    <t>7731383256</t>
  </si>
  <si>
    <t>773101001</t>
  </si>
  <si>
    <t>11-09-2017 00:00:00</t>
  </si>
  <si>
    <t>31300554</t>
  </si>
  <si>
    <t>ООО "Чуровское коммунальное хозяйство"</t>
  </si>
  <si>
    <t>3524016638</t>
  </si>
  <si>
    <t>28274016</t>
  </si>
  <si>
    <t>ООО "Шекснинский бройлер"</t>
  </si>
  <si>
    <t>3525291813</t>
  </si>
  <si>
    <t>26356162</t>
  </si>
  <si>
    <t>ООО "Шекснинский комбинат древесных плит"</t>
  </si>
  <si>
    <t>3524009045</t>
  </si>
  <si>
    <t>30390813</t>
  </si>
  <si>
    <t>ООО "Шухтовское"</t>
  </si>
  <si>
    <t>3528191567</t>
  </si>
  <si>
    <t>26372145</t>
  </si>
  <si>
    <t>ООО "Электротеплосеть"</t>
  </si>
  <si>
    <t>3526018334</t>
  </si>
  <si>
    <t>02-07-2004 00:00:00</t>
  </si>
  <si>
    <t>26757900</t>
  </si>
  <si>
    <t>ООО "Энергия-1"</t>
  </si>
  <si>
    <t>3523017710</t>
  </si>
  <si>
    <t>31043309</t>
  </si>
  <si>
    <t>ООО "Энерго-Центр"</t>
  </si>
  <si>
    <t>3525387610</t>
  </si>
  <si>
    <t>10-10-2016 00:00:00</t>
  </si>
  <si>
    <t>26372101</t>
  </si>
  <si>
    <t>ООО "Яковлевское"</t>
  </si>
  <si>
    <t>3520007865</t>
  </si>
  <si>
    <t>31305730</t>
  </si>
  <si>
    <t>ООО «Агат»</t>
  </si>
  <si>
    <t>3520009319</t>
  </si>
  <si>
    <t>28823267</t>
  </si>
  <si>
    <t>ООО «ЕрмаковоРесурс»</t>
  </si>
  <si>
    <t>3507310615</t>
  </si>
  <si>
    <t>31354876</t>
  </si>
  <si>
    <t>ООО «ЖБИиК»</t>
  </si>
  <si>
    <t>3525436610</t>
  </si>
  <si>
    <t>28260820</t>
  </si>
  <si>
    <t>ООО «Железобетон-12»</t>
  </si>
  <si>
    <t>3528010531</t>
  </si>
  <si>
    <t>27578933</t>
  </si>
  <si>
    <t>ООО «Жилстройиндустрия»</t>
  </si>
  <si>
    <t>3525108923</t>
  </si>
  <si>
    <t>31445555</t>
  </si>
  <si>
    <t>ООО «Комфорт»</t>
  </si>
  <si>
    <t>3525369330</t>
  </si>
  <si>
    <t>31817424</t>
  </si>
  <si>
    <t>ООО «Красавинская ТЭЦ»</t>
  </si>
  <si>
    <t>2423015587</t>
  </si>
  <si>
    <t>28068430</t>
  </si>
  <si>
    <t>ООО «Офир»</t>
  </si>
  <si>
    <t>3525110383</t>
  </si>
  <si>
    <t>28446291</t>
  </si>
  <si>
    <t>ООО «Приток»</t>
  </si>
  <si>
    <t>3513003355</t>
  </si>
  <si>
    <t>07-08-2012 00:00:00</t>
  </si>
  <si>
    <t>31647520</t>
  </si>
  <si>
    <t>ООО «СИМ»</t>
  </si>
  <si>
    <t>3525418298</t>
  </si>
  <si>
    <t>31204629</t>
  </si>
  <si>
    <t>ООО «СТК»</t>
  </si>
  <si>
    <t>3527022894</t>
  </si>
  <si>
    <t>08-10-2018 00:00:00</t>
  </si>
  <si>
    <t>28446064</t>
  </si>
  <si>
    <t>ООО «ТеплоЦентрСтрой»</t>
  </si>
  <si>
    <t>3525303642</t>
  </si>
  <si>
    <t>31196720</t>
  </si>
  <si>
    <t>ООО «Теплоресурс»</t>
  </si>
  <si>
    <t>3522004676</t>
  </si>
  <si>
    <t>31774250</t>
  </si>
  <si>
    <t>ООО «Теплосеть»</t>
  </si>
  <si>
    <t>3528342826</t>
  </si>
  <si>
    <t>31206265</t>
  </si>
  <si>
    <t>ООО «Теплосфера»</t>
  </si>
  <si>
    <t>3522004669</t>
  </si>
  <si>
    <t>28883037</t>
  </si>
  <si>
    <t>ООО ПФ "Полиграфист"</t>
  </si>
  <si>
    <t>3525081140</t>
  </si>
  <si>
    <t>26755888</t>
  </si>
  <si>
    <t>ООО СХП "Устюгмолоко"</t>
  </si>
  <si>
    <t>3525188742</t>
  </si>
  <si>
    <t>31379599</t>
  </si>
  <si>
    <t>ООО УК «Дом у рощи»</t>
  </si>
  <si>
    <t>3525388188</t>
  </si>
  <si>
    <t>26356219</t>
  </si>
  <si>
    <t>ПАО "Северсталь"</t>
  </si>
  <si>
    <t>3528000597</t>
  </si>
  <si>
    <t>26360835</t>
  </si>
  <si>
    <t>ПАО "ТГК-2"</t>
  </si>
  <si>
    <t>7606053324</t>
  </si>
  <si>
    <t>26523308</t>
  </si>
  <si>
    <t>760601001</t>
  </si>
  <si>
    <t>27578936</t>
  </si>
  <si>
    <t>ПАО железнодорожная страховая компания «ЖАСКО»</t>
  </si>
  <si>
    <t>3525013446</t>
  </si>
  <si>
    <t>24-02-2025 00:00:00</t>
  </si>
  <si>
    <t>31819770</t>
  </si>
  <si>
    <t>ПК Колхоз "Пожарское"</t>
  </si>
  <si>
    <t>3501006626</t>
  </si>
  <si>
    <t>26356058</t>
  </si>
  <si>
    <t>СХПК "Племптица-Можайское"</t>
  </si>
  <si>
    <t>3507011990</t>
  </si>
  <si>
    <t>26356056</t>
  </si>
  <si>
    <t>СХПК комбинат "Тепличный"</t>
  </si>
  <si>
    <t>3507011510</t>
  </si>
  <si>
    <t>26836275</t>
  </si>
  <si>
    <t>Северная Дирекция по тепловодоснабжению структурное подразделение Центральной дирекции по тепловодоснабжению - филиала ОАО "РЖД"</t>
  </si>
  <si>
    <t>760445028</t>
  </si>
  <si>
    <t>26431776</t>
  </si>
  <si>
    <t>Северный филиал  ООО "Газпром энерго"</t>
  </si>
  <si>
    <t>7736186950</t>
  </si>
  <si>
    <t>110203001</t>
  </si>
  <si>
    <t>23-04-2009 00:00:00</t>
  </si>
  <si>
    <t>30902538</t>
  </si>
  <si>
    <t>Сямженский лесхоз - филиал САУ лесного хозяйства ВО "Вологодалесхоз"</t>
  </si>
  <si>
    <t>3525090553</t>
  </si>
  <si>
    <t>26356173</t>
  </si>
  <si>
    <t>УПТК ОАО "Вологодавтодор"</t>
  </si>
  <si>
    <t>30903763</t>
  </si>
  <si>
    <t>ФГБУ "ЦЖКУ" МИНОБОРОНЫ РОССИИ</t>
  </si>
  <si>
    <t>7729314745</t>
  </si>
  <si>
    <t>770101001</t>
  </si>
  <si>
    <t>31034825</t>
  </si>
  <si>
    <t>ФГБУ "ЦЖКУ" Минобороны России</t>
  </si>
  <si>
    <t>770101003</t>
  </si>
  <si>
    <t>26356209</t>
  </si>
  <si>
    <t>ФКУ ИК-4 УФСИН России по Вологодской области</t>
  </si>
  <si>
    <t>3527004422</t>
  </si>
  <si>
    <t>26759060</t>
  </si>
  <si>
    <t>ФКУ ИК-5 УФСИН России по Вологодской области</t>
  </si>
  <si>
    <t>26356184</t>
  </si>
  <si>
    <t>ФКУ УК УФСИН России по Вологодской области</t>
  </si>
  <si>
    <t>3525091814</t>
  </si>
  <si>
    <t>26424641</t>
  </si>
  <si>
    <t>Филиал РТРС "Вологодский областной радиотелевизионный передающий центр"</t>
  </si>
  <si>
    <t>7717127211</t>
  </si>
  <si>
    <t>31760505</t>
  </si>
  <si>
    <t>администрация Кирилловского муниципального округа</t>
  </si>
  <si>
    <t>3500001495</t>
  </si>
  <si>
    <t>17-06-2024 00:00:00</t>
  </si>
  <si>
    <t>26361103</t>
  </si>
  <si>
    <t>филиал ЗАО "Светлана-Рентген"  "Бабаево-Рентген"</t>
  </si>
  <si>
    <t>7805026364</t>
  </si>
  <si>
    <t>350103001</t>
  </si>
  <si>
    <t>30872593</t>
  </si>
  <si>
    <t>ООО "Коммунальные услуги"</t>
  </si>
  <si>
    <t>3514008229</t>
  </si>
  <si>
    <t>26-10-2006 00:00:00</t>
  </si>
  <si>
    <t>31312769</t>
  </si>
  <si>
    <t>ООО «ДЛК-сервис»</t>
  </si>
  <si>
    <t>3507308285</t>
  </si>
  <si>
    <t>350701100</t>
  </si>
  <si>
    <t>30383356</t>
  </si>
  <si>
    <t>АО "Вологодский мясокомбинат"</t>
  </si>
  <si>
    <t>3525070130</t>
  </si>
  <si>
    <t>31679654</t>
  </si>
  <si>
    <t>Администрация Сокольского муниципального округа Вологодской области</t>
  </si>
  <si>
    <t>3527024757</t>
  </si>
  <si>
    <t>31149964</t>
  </si>
  <si>
    <t>Администрация сельского поселения Заречное</t>
  </si>
  <si>
    <t>3526035700</t>
  </si>
  <si>
    <t>29-01-2018 00:00:00</t>
  </si>
  <si>
    <t>26446526</t>
  </si>
  <si>
    <t>ЗАО "Агрофирма имени Павлова"</t>
  </si>
  <si>
    <t>3514000357</t>
  </si>
  <si>
    <t>26757907</t>
  </si>
  <si>
    <t>ЗАО "Ботово"</t>
  </si>
  <si>
    <t>3523000307</t>
  </si>
  <si>
    <t>26791425</t>
  </si>
  <si>
    <t>ЗАО "Вологодский подшипниковый завод"</t>
  </si>
  <si>
    <t>3525027150</t>
  </si>
  <si>
    <t>26356067</t>
  </si>
  <si>
    <t>ЗАО "Грязовецкий АРЗ"</t>
  </si>
  <si>
    <t>3509000129</t>
  </si>
  <si>
    <t>30418536</t>
  </si>
  <si>
    <t>ИП Нестеров С.Г.</t>
  </si>
  <si>
    <t>350300051951</t>
  </si>
  <si>
    <t>31679352</t>
  </si>
  <si>
    <t>КУ "ЦЕНТР ПО ОБЕСПЕЧЕНИЮ ДЕЯТЕЛЬНОСТИ"</t>
  </si>
  <si>
    <t>3512006360</t>
  </si>
  <si>
    <t>26372088</t>
  </si>
  <si>
    <t>Колхоз "Великодворье"</t>
  </si>
  <si>
    <t>3518000372</t>
  </si>
  <si>
    <t>31342329</t>
  </si>
  <si>
    <t>МБУ ВМР "ХПУ"</t>
  </si>
  <si>
    <t>3508010540</t>
  </si>
  <si>
    <t>26-03-2019 00:00:00</t>
  </si>
  <si>
    <t>31645011</t>
  </si>
  <si>
    <t>МКП "Водоканал Устюжна"</t>
  </si>
  <si>
    <t>3520009809</t>
  </si>
  <si>
    <t>31423340</t>
  </si>
  <si>
    <t>МКП "Управление ЖКХ"</t>
  </si>
  <si>
    <t>3521006871</t>
  </si>
  <si>
    <t>31276904</t>
  </si>
  <si>
    <t>МКП «Управление ЖКХ»</t>
  </si>
  <si>
    <t>3506005182</t>
  </si>
  <si>
    <t>31739139</t>
  </si>
  <si>
    <t>МКП БМО ВО "ЖКХ"</t>
  </si>
  <si>
    <t>3503006212</t>
  </si>
  <si>
    <t>31402393</t>
  </si>
  <si>
    <t>МП города Вытегра "Горводоканал"</t>
  </si>
  <si>
    <t>3508010565</t>
  </si>
  <si>
    <t>26372138</t>
  </si>
  <si>
    <t>МУП "ВОДОКАНАЛ" Г. ВЕЛИКИЙ УСТЮГ</t>
  </si>
  <si>
    <t>3526000898</t>
  </si>
  <si>
    <t>28444495</t>
  </si>
  <si>
    <t>МУП "Вашкинский водоканал"</t>
  </si>
  <si>
    <t>3504002725</t>
  </si>
  <si>
    <t>26442276</t>
  </si>
  <si>
    <t>МУП "ВиВ"</t>
  </si>
  <si>
    <t>3501000166</t>
  </si>
  <si>
    <t>26372016</t>
  </si>
  <si>
    <t>МУП "Гулино"</t>
  </si>
  <si>
    <t>3503003571</t>
  </si>
  <si>
    <t>31506619</t>
  </si>
  <si>
    <t>МУП "Коммунальные системы Талицкого поселения"</t>
  </si>
  <si>
    <t>3511007080</t>
  </si>
  <si>
    <t>24-01-2020 00:00:00</t>
  </si>
  <si>
    <t>31339221</t>
  </si>
  <si>
    <t>МУП "Услуга"</t>
  </si>
  <si>
    <t>3510008429</t>
  </si>
  <si>
    <t>31088878</t>
  </si>
  <si>
    <t>МУП «Тотьма-Водоканал»</t>
  </si>
  <si>
    <t>3518007307</t>
  </si>
  <si>
    <t>12-02-2018 00:00:00</t>
  </si>
  <si>
    <t>26372136</t>
  </si>
  <si>
    <t>МУП ЖКХ "Вологдагорводоканал"</t>
  </si>
  <si>
    <t>3525023596</t>
  </si>
  <si>
    <t>26356220</t>
  </si>
  <si>
    <t>МУП города Череповца "Водоканал"</t>
  </si>
  <si>
    <t>3528000967</t>
  </si>
  <si>
    <t>26382284</t>
  </si>
  <si>
    <t>ООО " Вожегодское коммунальное хозяйство"</t>
  </si>
  <si>
    <t>3506004220</t>
  </si>
  <si>
    <t>31716121</t>
  </si>
  <si>
    <t>ООО "Автотест"</t>
  </si>
  <si>
    <t>3525484999</t>
  </si>
  <si>
    <t>08-02-2023 00:00:00</t>
  </si>
  <si>
    <t>26419382</t>
  </si>
  <si>
    <t>ООО "Аспект"</t>
  </si>
  <si>
    <t>3507304516</t>
  </si>
  <si>
    <t>26372079</t>
  </si>
  <si>
    <t>ООО "Водоканал - Тарнога"</t>
  </si>
  <si>
    <t>3517803842</t>
  </si>
  <si>
    <t>26379765</t>
  </si>
  <si>
    <t>ООО "Водоканал"</t>
  </si>
  <si>
    <t>3503012512</t>
  </si>
  <si>
    <t>26356087</t>
  </si>
  <si>
    <t>3511005565</t>
  </si>
  <si>
    <t>28008064</t>
  </si>
  <si>
    <t>3527018560</t>
  </si>
  <si>
    <t>28489340</t>
  </si>
  <si>
    <t>ООО "Водресурс"</t>
  </si>
  <si>
    <t>3507309458</t>
  </si>
  <si>
    <t>31837135</t>
  </si>
  <si>
    <t>ООО "Вотекс"</t>
  </si>
  <si>
    <t>7725388746</t>
  </si>
  <si>
    <t>770201001</t>
  </si>
  <si>
    <t>26372008</t>
  </si>
  <si>
    <t>ООО "Единство"</t>
  </si>
  <si>
    <t>3502004484</t>
  </si>
  <si>
    <t>18-01-2005 00:00:00</t>
  </si>
  <si>
    <t>26371992</t>
  </si>
  <si>
    <t>ООО "ЖКХ Тороповское"</t>
  </si>
  <si>
    <t>3501006369</t>
  </si>
  <si>
    <t>02-04-2025 00:00:00</t>
  </si>
  <si>
    <t>27684279</t>
  </si>
  <si>
    <t>3526028942</t>
  </si>
  <si>
    <t>31-01-2025 00:00:00</t>
  </si>
  <si>
    <t>26429356</t>
  </si>
  <si>
    <t>ООО "Зазеркалье"</t>
  </si>
  <si>
    <t>3525157695</t>
  </si>
  <si>
    <t>26757734</t>
  </si>
  <si>
    <t>ООО "Комсервис"</t>
  </si>
  <si>
    <t>3512005279</t>
  </si>
  <si>
    <t>26755855</t>
  </si>
  <si>
    <t>ООО "Новаторский лесоперерабатывающий комбинат"</t>
  </si>
  <si>
    <t>3526014883</t>
  </si>
  <si>
    <t>30375022</t>
  </si>
  <si>
    <t>ООО "Ресурс"</t>
  </si>
  <si>
    <t>3526030853</t>
  </si>
  <si>
    <t>26442673</t>
  </si>
  <si>
    <t>ООО "Северагрогаз"</t>
  </si>
  <si>
    <t>3518003253</t>
  </si>
  <si>
    <t>28459371</t>
  </si>
  <si>
    <t>ООО "СтройКомплектСервис"</t>
  </si>
  <si>
    <t>3510009077</t>
  </si>
  <si>
    <t>30404874</t>
  </si>
  <si>
    <t>ООО "Шексна-Водоканал"</t>
  </si>
  <si>
    <t>3524015497</t>
  </si>
  <si>
    <t>31588950</t>
  </si>
  <si>
    <t>ООО "ЭкоСервис"</t>
  </si>
  <si>
    <t>3525372639</t>
  </si>
  <si>
    <t>25-03-2016 00:00:00</t>
  </si>
  <si>
    <t>31320071</t>
  </si>
  <si>
    <t>ООО «ВодопроводУстье»</t>
  </si>
  <si>
    <t>3519004845</t>
  </si>
  <si>
    <t>31460157</t>
  </si>
  <si>
    <t>ООО «Шекснинская птицефабрика»</t>
  </si>
  <si>
    <t>3524016476</t>
  </si>
  <si>
    <t>26756247</t>
  </si>
  <si>
    <t>СПК "Племзавод Пригородный"</t>
  </si>
  <si>
    <t>3507302501</t>
  </si>
  <si>
    <t>26792530</t>
  </si>
  <si>
    <t>СПК "Тарногский"</t>
  </si>
  <si>
    <t>3517000323</t>
  </si>
  <si>
    <t>26372001</t>
  </si>
  <si>
    <t>СПК (колхоз) "Восход"</t>
  </si>
  <si>
    <t>3502000088</t>
  </si>
  <si>
    <t>26372089</t>
  </si>
  <si>
    <t>СПК (колхоз) "Родина"</t>
  </si>
  <si>
    <t>3518004458</t>
  </si>
  <si>
    <t>26372111</t>
  </si>
  <si>
    <t>СПК (колхоз) "Север"</t>
  </si>
  <si>
    <t>3521000125</t>
  </si>
  <si>
    <t>28003864</t>
  </si>
  <si>
    <t>СПК (колхоз) Майский</t>
  </si>
  <si>
    <t>3530010137</t>
  </si>
  <si>
    <t>353001001</t>
  </si>
  <si>
    <t>28142209</t>
  </si>
  <si>
    <t>СПК (колхоз) имени Ленина</t>
  </si>
  <si>
    <t>3517000676</t>
  </si>
  <si>
    <t>26756026</t>
  </si>
  <si>
    <t>СПК ПКЗ "Вологодский"</t>
  </si>
  <si>
    <t>3507011911</t>
  </si>
  <si>
    <t>31745076</t>
  </si>
  <si>
    <t>администрация Никольского муниципального округа Вологодской области</t>
  </si>
  <si>
    <t>3500000678</t>
  </si>
  <si>
    <t>31607700</t>
  </si>
  <si>
    <t>МП "Устье - Водоканал"</t>
  </si>
  <si>
    <t>3519005052</t>
  </si>
  <si>
    <t>28445628</t>
  </si>
  <si>
    <t>ООО "ВерховажьеСтройСервис"</t>
  </si>
  <si>
    <t>3505005260</t>
  </si>
  <si>
    <t>31352620</t>
  </si>
  <si>
    <t>ООО "Вологодский текстильный комбинат"</t>
  </si>
  <si>
    <t>772501001</t>
  </si>
  <si>
    <t>28959830</t>
  </si>
  <si>
    <t>ООО "РСХ"</t>
  </si>
  <si>
    <t>4715026815</t>
  </si>
  <si>
    <t>27736531</t>
  </si>
  <si>
    <t>ООО "Череповецтранссервис"</t>
  </si>
  <si>
    <t>3528100665</t>
  </si>
  <si>
    <t>26379851</t>
  </si>
  <si>
    <t>ФКУ ИК-3  УФСИН России по Вологодской области</t>
  </si>
  <si>
    <t>3526015630</t>
  </si>
  <si>
    <t>27568389</t>
  </si>
  <si>
    <t>АО «Вторресурсы»</t>
  </si>
  <si>
    <t>3528177280</t>
  </si>
  <si>
    <t>31292802</t>
  </si>
  <si>
    <t>ИП Козлов Игорь Николаевич</t>
  </si>
  <si>
    <t>352800207030</t>
  </si>
  <si>
    <t>31819920</t>
  </si>
  <si>
    <t>МАУ "Спецавтохозяйство"</t>
  </si>
  <si>
    <t>3500009134</t>
  </si>
  <si>
    <t>26382298</t>
  </si>
  <si>
    <t>ММХ ООО "Импульс"</t>
  </si>
  <si>
    <t>3520007551</t>
  </si>
  <si>
    <t>26382306</t>
  </si>
  <si>
    <t>ООО "АВС"</t>
  </si>
  <si>
    <t>3526020439</t>
  </si>
  <si>
    <t>26768492</t>
  </si>
  <si>
    <t>ООО "Агроремтехснаб"</t>
  </si>
  <si>
    <t>3515003150</t>
  </si>
  <si>
    <t>28270443</t>
  </si>
  <si>
    <t>ООО "Аквалайн"</t>
  </si>
  <si>
    <t>3510008972</t>
  </si>
  <si>
    <t>31042706</t>
  </si>
  <si>
    <t>ООО "Вторресурсы Устюжна"</t>
  </si>
  <si>
    <t>3520009157</t>
  </si>
  <si>
    <t>13-10-2015 00:00:00</t>
  </si>
  <si>
    <t>31206518</t>
  </si>
  <si>
    <t>ООО "Зелёный город"</t>
  </si>
  <si>
    <t>3509011272</t>
  </si>
  <si>
    <t>26771008</t>
  </si>
  <si>
    <t>ООО "Комус"</t>
  </si>
  <si>
    <t>3527014621</t>
  </si>
  <si>
    <t>31819912</t>
  </si>
  <si>
    <t>ООО "Кредо"</t>
  </si>
  <si>
    <t>3500008860</t>
  </si>
  <si>
    <t>31773053</t>
  </si>
  <si>
    <t>ООО "Никольская управляющая компания"</t>
  </si>
  <si>
    <t>3500009977</t>
  </si>
  <si>
    <t>31193836</t>
  </si>
  <si>
    <t>ООО "Полигон"</t>
  </si>
  <si>
    <t>3524016290</t>
  </si>
  <si>
    <t>31819916</t>
  </si>
  <si>
    <t>ООО "Служба заказчика"</t>
  </si>
  <si>
    <t>3500007433</t>
  </si>
  <si>
    <t>30408230</t>
  </si>
  <si>
    <t>ООО "Стройкомсервис"</t>
  </si>
  <si>
    <t>3519004570</t>
  </si>
  <si>
    <t>29-09-2015 00:00:00</t>
  </si>
  <si>
    <t>05-05-2025 00:00:00</t>
  </si>
  <si>
    <t>27555287</t>
  </si>
  <si>
    <t>ООО "Тарнога-ЖилКомсервис"</t>
  </si>
  <si>
    <t>3517804109</t>
  </si>
  <si>
    <t>23-03-2011 00:00:00</t>
  </si>
  <si>
    <t>28048852</t>
  </si>
  <si>
    <t>ООО "ЭКОСТАР"</t>
  </si>
  <si>
    <t>3508006745</t>
  </si>
  <si>
    <t>08-10-2012 00:00:00</t>
  </si>
  <si>
    <t>28534991</t>
  </si>
  <si>
    <t>ООО "Экологические технологии"</t>
  </si>
  <si>
    <t>3525252606</t>
  </si>
  <si>
    <t>29-12-2010 00:00:00</t>
  </si>
  <si>
    <t>26768494</t>
  </si>
  <si>
    <t>ООО "Экотранссервис"</t>
  </si>
  <si>
    <t>3528168670</t>
  </si>
  <si>
    <t>15-07-2010 00:00:00</t>
  </si>
  <si>
    <t>30390803</t>
  </si>
  <si>
    <t>ООО "Энергетик"</t>
  </si>
  <si>
    <t>3525289388</t>
  </si>
  <si>
    <t>28872633</t>
  </si>
  <si>
    <t>ООО «Вторресурсы»</t>
  </si>
  <si>
    <t>3528135548</t>
  </si>
  <si>
    <t>31434052</t>
  </si>
  <si>
    <t>ООО «Зелёный город»</t>
  </si>
  <si>
    <t>3525432905</t>
  </si>
  <si>
    <t>31819477</t>
  </si>
  <si>
    <t>ООО «УК «Жилцентр»</t>
  </si>
  <si>
    <t>3524015793</t>
  </si>
  <si>
    <t>31039467</t>
  </si>
  <si>
    <t>ООО «Чистый след»</t>
  </si>
  <si>
    <t>3528213203</t>
  </si>
  <si>
    <t>31-03-2014 00:00:00</t>
  </si>
  <si>
    <t>31291647</t>
  </si>
  <si>
    <t>ооо "Эковтор"</t>
  </si>
  <si>
    <t>3524012545</t>
  </si>
  <si>
    <t>25-01-2010 00:00:00</t>
  </si>
  <si>
    <t>NSRF</t>
  </si>
  <si>
    <t>MR_NAME</t>
  </si>
  <si>
    <t>OKTMO_MR_NAME</t>
  </si>
  <si>
    <t>MO_NAME</t>
  </si>
  <si>
    <t>OKTMO_NAME</t>
  </si>
  <si>
    <t>TYPE</t>
  </si>
  <si>
    <t>MR_ID</t>
  </si>
  <si>
    <t>Бабаевский муниципальный округ</t>
  </si>
  <si>
    <t>19505000</t>
  </si>
  <si>
    <t>муниципальный округ</t>
  </si>
  <si>
    <t>Бабушкинский муниципальный округ</t>
  </si>
  <si>
    <t>19508000</t>
  </si>
  <si>
    <t>Белозерский муниципальный округ</t>
  </si>
  <si>
    <t>19510000</t>
  </si>
  <si>
    <t>Вашкинский муниципальный округ</t>
  </si>
  <si>
    <t>19512000</t>
  </si>
  <si>
    <t>Вашкинский муниципальный район</t>
  </si>
  <si>
    <t>19612000</t>
  </si>
  <si>
    <t>Андреевское</t>
  </si>
  <si>
    <t>19612404</t>
  </si>
  <si>
    <t>сельское поселение</t>
  </si>
  <si>
    <t>муниципальный район</t>
  </si>
  <si>
    <t>Киснемское</t>
  </si>
  <si>
    <t>19612416</t>
  </si>
  <si>
    <t>Липиноборское</t>
  </si>
  <si>
    <t>19612420</t>
  </si>
  <si>
    <t>Великоустюгский муниципальный округ</t>
  </si>
  <si>
    <t>19514000</t>
  </si>
  <si>
    <t>Верховажский муниципальный округ</t>
  </si>
  <si>
    <t>19516000</t>
  </si>
  <si>
    <t>Вожегодский муниципальный округ</t>
  </si>
  <si>
    <t>19518000</t>
  </si>
  <si>
    <t>Вологодский муниципальный округ</t>
  </si>
  <si>
    <t>19520000</t>
  </si>
  <si>
    <t>Вытегорский муниципальный район</t>
  </si>
  <si>
    <t>19622000</t>
  </si>
  <si>
    <t>Алмозерское</t>
  </si>
  <si>
    <t>19622404</t>
  </si>
  <si>
    <t>Андомское</t>
  </si>
  <si>
    <t>19622408</t>
  </si>
  <si>
    <t>Анненское</t>
  </si>
  <si>
    <t>19622412</t>
  </si>
  <si>
    <t>Анхимовское</t>
  </si>
  <si>
    <t>19622416</t>
  </si>
  <si>
    <t>Город Вытегра</t>
  </si>
  <si>
    <t>19622101</t>
  </si>
  <si>
    <t>городское поселение, в состав которого входит город</t>
  </si>
  <si>
    <t>Девятинское</t>
  </si>
  <si>
    <t>19622420</t>
  </si>
  <si>
    <t>Кемское</t>
  </si>
  <si>
    <t>19622428</t>
  </si>
  <si>
    <t>Оштинское</t>
  </si>
  <si>
    <t>19622444</t>
  </si>
  <si>
    <t>Город Вологда</t>
  </si>
  <si>
    <t>19701000</t>
  </si>
  <si>
    <t>городской округ</t>
  </si>
  <si>
    <t>Город Череповец</t>
  </si>
  <si>
    <t>19730000</t>
  </si>
  <si>
    <t>Грязовецкий муниципальный округ</t>
  </si>
  <si>
    <t>19524000</t>
  </si>
  <si>
    <t>Кирилловский муниципальный округ</t>
  </si>
  <si>
    <t>19528000</t>
  </si>
  <si>
    <t>Кирилловский муниципальный район</t>
  </si>
  <si>
    <t>19628000</t>
  </si>
  <si>
    <t>Алешинское</t>
  </si>
  <si>
    <t>19628404</t>
  </si>
  <si>
    <t>Город Кириллов</t>
  </si>
  <si>
    <t>19628101</t>
  </si>
  <si>
    <t>Липовское</t>
  </si>
  <si>
    <t>19628444</t>
  </si>
  <si>
    <t>Николоторжское</t>
  </si>
  <si>
    <t>19628452</t>
  </si>
  <si>
    <t>Талицкое</t>
  </si>
  <si>
    <t>19628476</t>
  </si>
  <si>
    <t>Ферапонтовское</t>
  </si>
  <si>
    <t>19628480</t>
  </si>
  <si>
    <t>Чарозерское</t>
  </si>
  <si>
    <t>19628484</t>
  </si>
  <si>
    <t>Кичменгско-Городецкий муниципальный округ</t>
  </si>
  <si>
    <t>19530000</t>
  </si>
  <si>
    <t>Междуреченский муниципальный округ</t>
  </si>
  <si>
    <t>19532000</t>
  </si>
  <si>
    <t>Никольский муниципальный округ</t>
  </si>
  <si>
    <t>19534000</t>
  </si>
  <si>
    <t>Никольский муниципальный район</t>
  </si>
  <si>
    <t>19634000</t>
  </si>
  <si>
    <t>Аргуновское</t>
  </si>
  <si>
    <t>19634404</t>
  </si>
  <si>
    <t>Город Никольск</t>
  </si>
  <si>
    <t>19634101</t>
  </si>
  <si>
    <t>Завражское</t>
  </si>
  <si>
    <t>19634420</t>
  </si>
  <si>
    <t>Зеленцовское</t>
  </si>
  <si>
    <t>19634424</t>
  </si>
  <si>
    <t>19634426</t>
  </si>
  <si>
    <t>Краснополянское</t>
  </si>
  <si>
    <t>19634428</t>
  </si>
  <si>
    <t>Никольское</t>
  </si>
  <si>
    <t>19634456</t>
  </si>
  <si>
    <t>Нюксенский муниципальный округ</t>
  </si>
  <si>
    <t>19536000</t>
  </si>
  <si>
    <t>Сокольский муниципальный округ</t>
  </si>
  <si>
    <t>19538000</t>
  </si>
  <si>
    <t>Сямженский муниципальный округ</t>
  </si>
  <si>
    <t>19540000</t>
  </si>
  <si>
    <t>Тарногский муниципальный округ</t>
  </si>
  <si>
    <t>19542000</t>
  </si>
  <si>
    <t>Тотемский муниципальный округ</t>
  </si>
  <si>
    <t>19546000</t>
  </si>
  <si>
    <t>Усть-Кубинский муниципальный округ</t>
  </si>
  <si>
    <t>19548000</t>
  </si>
  <si>
    <t>Устюженский муниципальный округ</t>
  </si>
  <si>
    <t>19550000</t>
  </si>
  <si>
    <t>Харовский муниципальный округ</t>
  </si>
  <si>
    <t>19552000</t>
  </si>
  <si>
    <t>Чагодощенский муниципальный округ</t>
  </si>
  <si>
    <t>19554000</t>
  </si>
  <si>
    <t>Череповецкий муниципальный район</t>
  </si>
  <si>
    <t>19656000</t>
  </si>
  <si>
    <t>Абакановское</t>
  </si>
  <si>
    <t>19656404</t>
  </si>
  <si>
    <t>Воскресенское</t>
  </si>
  <si>
    <t>19656424</t>
  </si>
  <si>
    <t>Ирдоматское</t>
  </si>
  <si>
    <t>19656448</t>
  </si>
  <si>
    <t>Климовское</t>
  </si>
  <si>
    <t>19656450</t>
  </si>
  <si>
    <t>Малечкинское</t>
  </si>
  <si>
    <t>19656432</t>
  </si>
  <si>
    <t>Мяксинское</t>
  </si>
  <si>
    <t>19656464</t>
  </si>
  <si>
    <t>60</t>
  </si>
  <si>
    <t>Нелазское</t>
  </si>
  <si>
    <t>19656470</t>
  </si>
  <si>
    <t>61</t>
  </si>
  <si>
    <t>Судское</t>
  </si>
  <si>
    <t>19656473</t>
  </si>
  <si>
    <t>62</t>
  </si>
  <si>
    <t>Тоншаловское</t>
  </si>
  <si>
    <t>19656477</t>
  </si>
  <si>
    <t>63</t>
  </si>
  <si>
    <t>Уломское</t>
  </si>
  <si>
    <t>19656480</t>
  </si>
  <si>
    <t>64</t>
  </si>
  <si>
    <t>65</t>
  </si>
  <si>
    <t>Югское</t>
  </si>
  <si>
    <t>19656483</t>
  </si>
  <si>
    <t>Ягановское</t>
  </si>
  <si>
    <t>19656484</t>
  </si>
  <si>
    <t>67</t>
  </si>
  <si>
    <t>Яргомжское</t>
  </si>
  <si>
    <t>19656488</t>
  </si>
  <si>
    <t>Шекснинский муниципальный район</t>
  </si>
  <si>
    <t>19658000</t>
  </si>
  <si>
    <t>Ершовское</t>
  </si>
  <si>
    <t>19658412</t>
  </si>
  <si>
    <t>69</t>
  </si>
  <si>
    <t>Железнодорожное</t>
  </si>
  <si>
    <t>19658416</t>
  </si>
  <si>
    <t>70</t>
  </si>
  <si>
    <t>19658428</t>
  </si>
  <si>
    <t>71</t>
  </si>
  <si>
    <t>Нифантовское</t>
  </si>
  <si>
    <t>19658430</t>
  </si>
  <si>
    <t>72</t>
  </si>
  <si>
    <t>Поселок Шексна</t>
  </si>
  <si>
    <t>19658151</t>
  </si>
  <si>
    <t>городское поселение, в состав которого входит поселок</t>
  </si>
  <si>
    <t>73</t>
  </si>
  <si>
    <t>Сиземское</t>
  </si>
  <si>
    <t>19658436</t>
  </si>
  <si>
    <t>74</t>
  </si>
  <si>
    <t>Угольское</t>
  </si>
  <si>
    <t>19658440</t>
  </si>
  <si>
    <t>75</t>
  </si>
  <si>
    <t>Чебсарское</t>
  </si>
  <si>
    <t>19658446</t>
  </si>
  <si>
    <t>76</t>
  </si>
  <si>
    <t>Чуровское</t>
  </si>
  <si>
    <t>19658452</t>
  </si>
  <si>
    <t>77</t>
  </si>
  <si>
    <t>78</t>
  </si>
  <si>
    <t>NUMBER_POINT</t>
  </si>
  <si>
    <t>INVP_NAME</t>
  </si>
  <si>
    <t>INVP_ID</t>
  </si>
  <si>
    <t>L_START_DATE</t>
  </si>
  <si>
    <t>L_END_DATE</t>
  </si>
  <si>
    <t>L_DECISION_NAME</t>
  </si>
  <si>
    <t>L_DECISION_TYPE</t>
  </si>
  <si>
    <t>L_DECISION_NMBR</t>
  </si>
  <si>
    <t>L_DECISION_DATE</t>
  </si>
  <si>
    <t>Инвестиционная программа от 05.10.2022 АО "ВОМЗ" в сфере теплоснабжения по модернизации, реконструкции и техническому перевооружению единого комплекса объектов, на территории городского округа Вологда на 2023-2027 годы</t>
  </si>
  <si>
    <t>01.01.2023</t>
  </si>
  <si>
    <t>31.12.2027</t>
  </si>
  <si>
    <t>Инвестиционная программа от 11.08.2022 ООО "Никольский жилищно-коммунальный сервис" в сфере теплоснабжения по модернизации и реконструкции объектов, на территории сельского поселения Никольское, Никольский муниципальный район на 2022-2023 годы</t>
  </si>
  <si>
    <t>11.08.2022</t>
  </si>
  <si>
    <t>31.12.2023</t>
  </si>
  <si>
    <t>Инвестиционная программа от 14.04.2022 АО "ВОЛОГДАГОРТЕПЛОСЕТЬ" в сфере теплоснабжения по модернизации, реконструкции и техническому перевооружению объектов, на территории городского округа Вологда на 2022-2024 годы</t>
  </si>
  <si>
    <t>14.04.2022</t>
  </si>
  <si>
    <t>31.12.2024</t>
  </si>
  <si>
    <t>Инвестиционная программа от 16.02.2024 АО "ВОЛОГДАОБЛЭНЕРГО" в сфере теплоснабжения по модернизации и реконструкции имущественного комплекса, на территории муниципального округа Устюженский на 2025-2026 годы</t>
  </si>
  <si>
    <t>01.01.2025</t>
  </si>
  <si>
    <t>31.12.2026</t>
  </si>
  <si>
    <t>Инвестиционная программа от 16.02.2024 АО "ВОЛОГДАОБЛЭНЕРГО" в сфере теплоснабжения по модернизации и реконструкции имущественного комплекса, на территории муниципального района Вытегорский на 2025-2026 годы</t>
  </si>
  <si>
    <t>Инвестиционная программа от 16.02.2024 АО "ВОЛОГДАОБЛЭНЕРГО" в сфере теплоснабжения по модернизации, развитию и техническому перевооружению имущественного комплекса, на территории муниципального округа Устюженский на 2025-2026 годы</t>
  </si>
  <si>
    <t>Инвестиционная программа от 18.12.2023 ПАО "ТГК-2" в сфере теплоснабжения по модернизации, реконструкции и техническому перевооружению систем коммунальной инфраструктуры, на территории городского округа Вологда на 2024-2028 годы</t>
  </si>
  <si>
    <t>01.01.2024</t>
  </si>
  <si>
    <t>31.12.2028</t>
  </si>
  <si>
    <t>Инвестиционная программа от 19.12.2024 АО "ВОЛОГДАГОРТЕПЛОСЕТЬ" в сфере теплоснабжения по модернизации, реконструкции и техническому перевооружению имущественного комплекса, на территории городского округа Вологда на 2025-2027 годы</t>
  </si>
  <si>
    <t>Инвестиционная программа от 19.12.2024 АО "НОРДЭНЕРГО" в сфере теплоснабжения по модернизации и реконструкции имущественного комплекса, на территории муниципального округа Вологодский на 2025-2027 годы</t>
  </si>
  <si>
    <t>27.12.2027</t>
  </si>
  <si>
    <t>Инвестиционная программа от 19.12.2024 АО "ТЭЦ "БЕЛЫЙ РУЧЕЙ" в сфере теплоснабжения по модернизации, развитию и техническому перевооружению имущественного комплекса, на территории муниципального района Вытегорский на 2025-2027 годы</t>
  </si>
  <si>
    <t>Инвестиционная программа от 20.11.2024 МУП "КОММУНАЛЬНЫЕ СИСТЕМЫ" в сфере теплоснабжения по модернизации, развитию и техническому перевооружению имущественного комплекса, на территории муниципального округа Сокольский на 2025-2027 годы</t>
  </si>
  <si>
    <t>Инвестиционная программа от 28.10.2024 МУП "Теплоэнергия" в сфере теплоснабжения по модернизации, реконструкции и техническому перевооружению объектов, на территории городского округа Череповец на 2024-2027 годы</t>
  </si>
  <si>
    <t>28.10.2024</t>
  </si>
  <si>
    <t>Инвестиционная программа от 28.10.2024 ООО "Теплоэнергия" в сфере теплоснабжения по модернизации, реконструкции и техническому перевооружению объектов, на территории городского округа Череповец на 2024-2026 годы</t>
  </si>
  <si>
    <t>Инвестиционная программа от 28.10.2024 ООО "Теплоэнергия" в сфере теплоснабжения по модернизации, реконструкции и техническому перевооружению объектов, на территории городского округа Череповец на 2024-2027 годы</t>
  </si>
  <si>
    <t>Инвестиционная программа от 28.11.2022 МУП "Коммунальные системы" в сфере теплоснабжения по модернизации и реконструкции систем инженерной инфраструктуры, на территории муниципального округа Сокольский на 2023-2027 годы</t>
  </si>
  <si>
    <t>31.01.2027</t>
  </si>
  <si>
    <t>Инвестиционная программа от 28.12.2020 ООО "Теплосервис" в сфере теплоснабжения по модернизации, реконструкции и техническому перевооружению единого комплекса объектов, на территории сельского поселения Красавинское, Великоустюгский муниципальный район на 2021-2023 годы</t>
  </si>
  <si>
    <t>01.01.2021</t>
  </si>
  <si>
    <t>Инвестиционная программа от 30.10.2024 АО "ВОЛОГДАОБЛЭНЕРГО" в сфере теплоснабжения по модернизации, развитию и техническому перевооружению имущественного комплекса, на территории муниципального округа Вожегодский на 2025-2029 годы</t>
  </si>
  <si>
    <t>31.01.2029</t>
  </si>
  <si>
    <t>Инвестиционная программа от 30.10.2024 АО "ВОЛОГДАОБЛЭНЕРГО" в сфере теплоснабжения по модернизации, развитию и техническому перевооружению имущественного комплекса, на территории муниципального округа Тотемский на 2025-2029 годы</t>
  </si>
  <si>
    <t>TER_NAME</t>
  </si>
  <si>
    <t>Территория 1</t>
  </si>
  <si>
    <t>ID_TARIFF_NAME</t>
  </si>
  <si>
    <t>TARIFF_NAME</t>
  </si>
  <si>
    <t>VED_NAME</t>
  </si>
  <si>
    <t>4190065</t>
  </si>
  <si>
    <t>4190066</t>
  </si>
  <si>
    <t>4190068</t>
  </si>
  <si>
    <t>4190069</t>
  </si>
  <si>
    <t>4190070</t>
  </si>
  <si>
    <t>4190071</t>
  </si>
  <si>
    <t>4190072</t>
  </si>
  <si>
    <t>4190073</t>
  </si>
  <si>
    <t>ID</t>
  </si>
  <si>
    <t>LINK_NAME</t>
  </si>
  <si>
    <t>https://portal.eias.ru/Portal/DownloadPage.aspx?type=12&amp;guid=????????-????-????-????-????????????</t>
  </si>
  <si>
    <t>ALL</t>
  </si>
  <si>
    <t>https://eias.fstrf.ru/disclo/get_file?p_guid=????????-????-????-????-????????????</t>
  </si>
  <si>
    <t>Форма</t>
  </si>
  <si>
    <t>Листы</t>
  </si>
  <si>
    <t>optOrganization</t>
  </si>
  <si>
    <t>optROiV</t>
  </si>
  <si>
    <t>optHEAT</t>
  </si>
  <si>
    <t>optCOLDVSNA</t>
  </si>
  <si>
    <t>optVOTV</t>
  </si>
  <si>
    <t>optHOTVSNA</t>
  </si>
  <si>
    <t>optTKO</t>
  </si>
  <si>
    <t>optORG</t>
  </si>
  <si>
    <t>optPRICE</t>
  </si>
  <si>
    <t>optBALANCE</t>
  </si>
  <si>
    <t>optQUARTER</t>
  </si>
  <si>
    <t>optINVEST</t>
  </si>
  <si>
    <t>optTERMS</t>
  </si>
  <si>
    <t>optREQUEST</t>
  </si>
  <si>
    <t>modSave</t>
  </si>
  <si>
    <t>Расчетные листы</t>
  </si>
  <si>
    <t>Скрытые листы</t>
  </si>
  <si>
    <t>Instruction</t>
  </si>
  <si>
    <t>DATA_FORMS</t>
  </si>
  <si>
    <t>modUpdTemplLogger</t>
  </si>
  <si>
    <t>DATA_NPA</t>
  </si>
  <si>
    <t>TITLE</t>
  </si>
  <si>
    <t>TEHSHEET</t>
  </si>
  <si>
    <t>TERRITORY</t>
  </si>
  <si>
    <t>TSH_et_union_hor</t>
  </si>
  <si>
    <t>DIFFERENTIATION</t>
  </si>
  <si>
    <t>modP_T_TERMS</t>
  </si>
  <si>
    <t>DIFFERENTIATION_TARIFF</t>
  </si>
  <si>
    <t>modMainProcedures</t>
  </si>
  <si>
    <t>DIFFERENTIATION_TKO</t>
  </si>
  <si>
    <t>modB_FHD</t>
  </si>
  <si>
    <t>ORG_INFO</t>
  </si>
  <si>
    <t>modB_FHD20</t>
  </si>
  <si>
    <t>ORG_VD</t>
  </si>
  <si>
    <t>modB_KNE</t>
  </si>
  <si>
    <t>ORG_VD_TKO</t>
  </si>
  <si>
    <t>modIP_MAIN</t>
  </si>
  <si>
    <t>ORG_TERRITORY</t>
  </si>
  <si>
    <t>modIP_QRE</t>
  </si>
  <si>
    <t>P_T_TERMS</t>
  </si>
  <si>
    <t>modIP_DETAILED</t>
  </si>
  <si>
    <t>TARIFF_A</t>
  </si>
  <si>
    <t>TSH_et_union_vert</t>
  </si>
  <si>
    <t>TARIFF_B</t>
  </si>
  <si>
    <t>modROIV</t>
  </si>
  <si>
    <t>TARIFF_F</t>
  </si>
  <si>
    <t>modDIFFERENTIATION_TKO</t>
  </si>
  <si>
    <t>TARIFF_C</t>
  </si>
  <si>
    <t>modTARIFF_HEAT</t>
  </si>
  <si>
    <t>TARIFF_E1</t>
  </si>
  <si>
    <t>modTARIFF_COLDVSNA</t>
  </si>
  <si>
    <t>TARIFF_E2</t>
  </si>
  <si>
    <t>modIP_FIN_PLAN</t>
  </si>
  <si>
    <t>TARIFF_D</t>
  </si>
  <si>
    <t>REESTR_IP</t>
  </si>
  <si>
    <t>TARIFF_G</t>
  </si>
  <si>
    <t>modfrmListIP</t>
  </si>
  <si>
    <t>Лист5</t>
  </si>
  <si>
    <t>modfrmActivity</t>
  </si>
  <si>
    <t>Лист6</t>
  </si>
  <si>
    <t>REESTR_DS</t>
  </si>
  <si>
    <t>Лист7</t>
  </si>
  <si>
    <t>REESTR_VED</t>
  </si>
  <si>
    <t>Лист14</t>
  </si>
  <si>
    <t>TSH_REESTR_MO</t>
  </si>
  <si>
    <t>P_PROCEDURE_TC</t>
  </si>
  <si>
    <t>TSH_REESTR_MO_FILTER</t>
  </si>
  <si>
    <t>R_B_Purch</t>
  </si>
  <si>
    <t>REESTR_LINK</t>
  </si>
  <si>
    <t>Q_PH</t>
  </si>
  <si>
    <t>modDIFFERENTIATION_TARIFF</t>
  </si>
  <si>
    <t>Q_TP</t>
  </si>
  <si>
    <t>modDIFFERENTIATION</t>
  </si>
  <si>
    <t>Q_LIMIT</t>
  </si>
  <si>
    <t>modTERRITORY</t>
  </si>
  <si>
    <t>R_Offer</t>
  </si>
  <si>
    <t>modQ_PH</t>
  </si>
  <si>
    <t>TARIFF_A_COLDVSNA</t>
  </si>
  <si>
    <t>modORG_INFO</t>
  </si>
  <si>
    <t>TARIFF_B_COLDVSNA</t>
  </si>
  <si>
    <t>modORG_VD</t>
  </si>
  <si>
    <t>TARIFF_C_COLDVSNA</t>
  </si>
  <si>
    <t>modORG_TERRITORY</t>
  </si>
  <si>
    <t>TARIFF_D_COLDVSNA</t>
  </si>
  <si>
    <t>modfrmSelectTerritory</t>
  </si>
  <si>
    <t>TARIFF_E_COLDVSNA</t>
  </si>
  <si>
    <t>modQ_TP</t>
  </si>
  <si>
    <t>B_FHD</t>
  </si>
  <si>
    <t>modQ_LIMIT</t>
  </si>
  <si>
    <t>B_FHD20</t>
  </si>
  <si>
    <t>modListTempFilter</t>
  </si>
  <si>
    <t>B_FHD_TKO</t>
  </si>
  <si>
    <t>modCheckCyan</t>
  </si>
  <si>
    <t>B_FHD_TKO_TRANS</t>
  </si>
  <si>
    <t>modHTTP</t>
  </si>
  <si>
    <t>B_KNE</t>
  </si>
  <si>
    <t>modfrmRezimChoose</t>
  </si>
  <si>
    <t>IP_MAIN</t>
  </si>
  <si>
    <t>modSheetMain</t>
  </si>
  <si>
    <t>IP_DETAILED</t>
  </si>
  <si>
    <t>REESTR_VT</t>
  </si>
  <si>
    <t>IP_FIN_PLAN</t>
  </si>
  <si>
    <t>modfrmReportMode</t>
  </si>
  <si>
    <t>IP_QRE</t>
  </si>
  <si>
    <t>modfrmReestrObj</t>
  </si>
  <si>
    <t>TARIFF_A_HOTVSNA</t>
  </si>
  <si>
    <t>AllSheetsInThisWorkbook</t>
  </si>
  <si>
    <t>TARIFF_B_HOTVSNA</t>
  </si>
  <si>
    <t>modInstruction</t>
  </si>
  <si>
    <t>TARIFF_C_HOTVSNA</t>
  </si>
  <si>
    <t>modRegion</t>
  </si>
  <si>
    <t>TARIFF_A_VOTV</t>
  </si>
  <si>
    <t>modReestr</t>
  </si>
  <si>
    <t>TARIFF_B_VOTV</t>
  </si>
  <si>
    <t>modfrmReestr</t>
  </si>
  <si>
    <t>TARIFF_C_VOTV</t>
  </si>
  <si>
    <t>modUpdTemplMain</t>
  </si>
  <si>
    <t>ED</t>
  </si>
  <si>
    <t>TSH_REESTR_ORG</t>
  </si>
  <si>
    <t>CHANGE_INFO</t>
  </si>
  <si>
    <t>modClassifierValidate</t>
  </si>
  <si>
    <t>ListComm</t>
  </si>
  <si>
    <t>modCHECK</t>
  </si>
  <si>
    <t>CHECK</t>
  </si>
  <si>
    <t>modHyp</t>
  </si>
  <si>
    <t>ROIV_INFO</t>
  </si>
  <si>
    <t>modServiceModule</t>
  </si>
  <si>
    <t>ROIV_ORG</t>
  </si>
  <si>
    <t>modInfo</t>
  </si>
  <si>
    <t>ROIV_CASE</t>
  </si>
  <si>
    <t>modTITLE</t>
  </si>
  <si>
    <t>ROIV_OTV</t>
  </si>
  <si>
    <t>modList02</t>
  </si>
  <si>
    <t>Лист1</t>
  </si>
  <si>
    <t>modED</t>
  </si>
  <si>
    <t>modList05</t>
  </si>
  <si>
    <t>modList06</t>
  </si>
  <si>
    <t>modCHANGE_INFO</t>
  </si>
  <si>
    <t>modList11</t>
  </si>
  <si>
    <t>modList12</t>
  </si>
  <si>
    <t>modfrmDateChoose</t>
  </si>
  <si>
    <t>modComm</t>
  </si>
  <si>
    <t>modThisWorkbook</t>
  </si>
  <si>
    <t>modfrmReestrMR</t>
  </si>
  <si>
    <t>modfrmCheckUpdates</t>
  </si>
  <si>
    <t>Титульный</t>
  </si>
  <si>
    <t>Для выбора того или иного источника публикации выполните двойной щелчок по синей ячейке напротив соответствующего источника._x000D_
ВНИМАНИЕ! Если Вы снимаете галочку с пункта, то будут скрыты и очищены соответствующие строки на листе "Форма 1.0.2"!_x000D_
_x000D_
Опубликование перечисленных в шаблоне показателей на сайте организации в сети Интернет и в печатных изданиях не обязательно, если данный шаблон предоставлен по системе ЕИАС (региональный сегмент).</t>
  </si>
  <si>
    <t>Обязательное опубликование на официальном сайте органа исполнительной власти субъекта Российской Федерации в области государственного регулирования цен (тарифов), и (или) на официальном сайте органа местного самоуправления поселения или городского округа в случае их наделения в соответствии с законом субъекта Российской Федерации полномочиями по государственному регулированию цен (тарифов)предусмотрено пунктом 3 (а) постановления Правительства №6 от 17.01.2013г.</t>
  </si>
  <si>
    <t>Задайте период регулирования, выбрав даты начала и окончания периода регулирования из календаря (иконка справа от указанной ячейки), либо введите дату непосредственно в ячейку в формате - 'ДД.ММ.ГГГГ'</t>
  </si>
  <si>
    <t>Шаблон заполняется раздельно по каждому виду тарифа</t>
  </si>
  <si>
    <t>В зависимости от указанного вида деятельности будут доступны для заполнения поля 'Производство', 'Передача' и 'Сбыт'</t>
  </si>
  <si>
    <t>Если выбрано 'да', на листах с разбивкой по потребителям доступны для заполнения графы для двухставочного ставочного тарифа по группам потребителей</t>
  </si>
  <si>
    <t>Если выбрано 'да', значения тарифов для групп потребителей на листах с разбивкой по потребителям заполнятся автоматически значениями первой группы</t>
  </si>
  <si>
    <t>Если выбрано значение «да» - в шаблоне будет сформирован лист «Форма 1.0.2» для уведомления органа регулирования о публикации информации в печатных изданиях</t>
  </si>
  <si>
    <t xml:space="preserve">По умолчанию установлено значение «первичное раскрытие информации» Это означает, что информация раскрывается в соответствии с установленными сроком и периодичностью. В случае если в уже отправленном шаблоне обнаружена ошибка или произошло изменение информации, исправленный шаблон необходимо отправить с типом отчета «изменения в раскрытой ранее информации». </t>
  </si>
  <si>
    <t>Укажите является ли данное юридическое лицо подразделением(филиалом) другой организации</t>
  </si>
  <si>
    <t>Ссылки на публикации</t>
  </si>
  <si>
    <t>Вводите адрес сайта, не нарушая цвет ячейки /если копируете гиперссылку из браузера, то выполните двойной щелчок по ячейке и только после этого можете вставить скопированный элемент/</t>
  </si>
  <si>
    <t>Обосновывающие материалы необходимо загружать с помощью "ЕИАС Мониторинг". Ссылка на инструкцию по загрузке обосновывающих материалов расположена на листе 'Инструкция' в п.'Методология заполнения'._x000D_
_x000D_
Ввводите ссылку, не нарушая цвет ячейки /если копируете гиперссылку из браузера, то выполните двойной щелчок по ячейке и только после этого можете вставить скопированный элемент/.</t>
  </si>
  <si>
    <t>Если для какого-либо пункта графы 'Наименование источника (сайта или печатного издания)' информация не раскрывалась, то в соответствующем поле укажите - 'не раскрывалась'</t>
  </si>
  <si>
    <t>Список МО</t>
  </si>
  <si>
    <t>В случае, если тариф не дифференцируется по системам теплоснабжения, перечислите все муниципальные районы, в которых организация осуществляет услуги теплоснабжения и сфере оказания услуг по передаче тепловой энергии</t>
  </si>
  <si>
    <t>В случае, если тариф не дифференцируется по системам теплоснабжения, перечислите все муниципальные образования, в которых организация осуществляет услуги теплоснабжения и сфере оказания услуг по передаче тепловой энергии</t>
  </si>
  <si>
    <t>Признак дифференциации тарифа</t>
  </si>
  <si>
    <t>В случае, если тариф не дифференцируется по системам теплоснабжения, укажите "1"._x000D_
Введите значение от 1 до 100, чтобы указать очередной условный порядковый номер системы теплоснабжения</t>
  </si>
  <si>
    <t>Стандарты</t>
  </si>
  <si>
    <t>В качестве примечания Вы можете указать единицу измерения</t>
  </si>
  <si>
    <t>Для корректного формирования Таблицы 25 Формы 1.10 необходимо задать разбивку по диаметрам и способу прокладки тепловых сетей</t>
  </si>
  <si>
    <t>Перечень тарифов</t>
  </si>
  <si>
    <t>Укажите «Да» в поле «Да/Нет», если дифференциация используется._x000D_
В поле «Описание» указывается наименование территории действия тарифа при наличии дифференциации тарифа по территориальному признаку._x000D_
В случае дифференциации тарифов по территориальному признаку информация по ним указывается в отдельных строках.</t>
  </si>
  <si>
    <t>Признаки дифференциации указываются в соответствии с п.6 ст.32 ФЗ РФ от 07.12.2011 №416-ФЗ</t>
  </si>
  <si>
    <t>Укажите «Да» в поле «Да/Нет», если дифференциация используется. В поле «Описание» укажите название ЦС ГВС или любое другое описание</t>
  </si>
  <si>
    <t>Территории</t>
  </si>
  <si>
    <t>Наименование территории действия тарифа для целей идентификации</t>
  </si>
  <si>
    <t>Муниципальные районы и муниципальные образования, на территории которых действует тариф</t>
  </si>
  <si>
    <t>Инструкция</t>
  </si>
  <si>
    <t>Нет доступных обновлений, версия отчёта актуальна</t>
  </si>
</sst>
</file>

<file path=xl/styles.xml><?xml version="1.0" encoding="utf-8"?>
<styleSheet xmlns="http://schemas.openxmlformats.org/spreadsheetml/2006/main" xmlns:mc="http://schemas.openxmlformats.org/markup-compatibility/2006" xmlns:x14ac="http://schemas.microsoft.com/office/spreadsheetml/2009/9/ac" mc:Ignorable="x14ac">
  <numFmts count="11">
    <numFmt numFmtId="193" formatCode="_-* #,##0.00\ _₽_-;\-* #,##0.00\ _₽_-;_-* &quot;-&quot;??\ _₽_-;_-@_-"/>
    <numFmt numFmtId="194" formatCode="_-* #,##0\ _₽_-;\-* #,##0\ _₽_-;_-* &quot;-&quot;\ _₽_-;_-@_-"/>
    <numFmt numFmtId="195" formatCode="_-* #,##0.00\ &quot;₽&quot;_-;\-* #,##0.00\ &quot;₽&quot;_-;_-* &quot;-&quot;??\ &quot;₽&quot;_-;_-@_-"/>
    <numFmt numFmtId="196" formatCode="_-* #,##0\ &quot;₽&quot;_-;\-* #,##0\ &quot;₽&quot;_-;_-* &quot;-&quot;\ &quot;₽&quot;_-;_-@_-"/>
    <numFmt numFmtId="197" formatCode="_-* #,##0.00[$€-1]_-;\-* #,##0.00[$€-1]_-;_-* &quot;-&quot;??[$€-1]_-"/>
    <numFmt numFmtId="198" formatCode="#,##0.0"/>
    <numFmt numFmtId="199" formatCode="#,##0.000"/>
    <numFmt numFmtId="200" formatCode="#,##0.0000"/>
    <numFmt numFmtId="201" formatCode="dd\.mm\.yyyy"/>
    <numFmt numFmtId="202" formatCode="000000"/>
    <numFmt numFmtId="203" formatCode="h:mm;@"/>
  </numFmts>
  <fonts count="128">
    <font>
      <sz val="9"/>
      <color rgb="FF000000"/>
      <name val="Tahoma"/>
    </font>
    <font>
      <sz val="11"/>
      <color theme="1"/>
      <name val="Calibri"/>
      <scheme val="minor"/>
    </font>
    <font>
      <sz val="11"/>
      <color theme="0"/>
      <name val="Calibri"/>
      <scheme val="minor"/>
    </font>
    <font>
      <sz val="11"/>
      <color rgb="FF9C0006"/>
      <name val="Calibri"/>
      <scheme val="minor"/>
    </font>
    <font>
      <b/>
      <sz val="11"/>
      <color rgb="FFFA7D00"/>
      <name val="Calibri"/>
      <scheme val="minor"/>
    </font>
    <font>
      <b/>
      <sz val="11"/>
      <color theme="0"/>
      <name val="Calibri"/>
      <scheme val="minor"/>
    </font>
    <font>
      <sz val="11"/>
      <color indexed="0"/>
      <name val="Calibri"/>
      <family val="2"/>
    </font>
    <font>
      <i/>
      <sz val="11"/>
      <color rgb="FF7F7F7F"/>
      <name val="Calibri"/>
      <scheme val="minor"/>
    </font>
    <font>
      <sz val="11"/>
      <color rgb="FF006100"/>
      <name val="Calibri"/>
      <scheme val="minor"/>
    </font>
    <font>
      <b/>
      <sz val="15"/>
      <color theme="3"/>
      <name val="Calibri"/>
      <scheme val="minor"/>
    </font>
    <font>
      <b/>
      <sz val="13"/>
      <color theme="3"/>
      <name val="Calibri"/>
      <scheme val="minor"/>
    </font>
    <font>
      <b/>
      <sz val="11"/>
      <color theme="3"/>
      <name val="Calibri"/>
      <scheme val="minor"/>
    </font>
    <font>
      <sz val="11"/>
      <color rgb="FF3F3F76"/>
      <name val="Calibri"/>
      <scheme val="minor"/>
    </font>
    <font>
      <sz val="11"/>
      <color rgb="FFFA7D00"/>
      <name val="Calibri"/>
      <scheme val="minor"/>
    </font>
    <font>
      <sz val="11"/>
      <color rgb="FF9C5700"/>
      <name val="Calibri"/>
      <scheme val="minor"/>
    </font>
    <font>
      <sz val="12"/>
      <color auto="1"/>
      <name val="Arial"/>
    </font>
    <font>
      <b/>
      <sz val="11"/>
      <color rgb="FF3F3F3F"/>
      <name val="Calibri"/>
      <scheme val="minor"/>
    </font>
    <font>
      <sz val="18"/>
      <color theme="3"/>
      <name val="Cambria"/>
      <scheme val="major"/>
    </font>
    <font>
      <b/>
      <sz val="11"/>
      <color theme="1"/>
      <name val="Calibri"/>
      <scheme val="minor"/>
    </font>
    <font>
      <sz val="11"/>
      <color rgb="FFFF0000"/>
      <name val="Calibri"/>
      <scheme val="minor"/>
    </font>
    <font>
      <sz val="10"/>
      <color auto="1"/>
      <name val="Helv"/>
    </font>
    <font>
      <sz val="8"/>
      <color auto="1"/>
      <name val="Arial"/>
    </font>
    <font>
      <sz val="9"/>
      <color auto="1"/>
      <name val="Tahoma"/>
    </font>
    <font>
      <sz val="8"/>
      <color auto="1"/>
      <name val="Palatino"/>
    </font>
    <font>
      <u/>
      <sz val="10"/>
      <color rgb="FF800080"/>
      <name val="Arial Cyr"/>
    </font>
    <font>
      <u/>
      <sz val="10"/>
      <color rgb="FF0000FF"/>
      <name val="Arial Cyr"/>
    </font>
    <font>
      <sz val="8"/>
      <color auto="1"/>
      <name val="Helv"/>
    </font>
    <font>
      <u/>
      <sz val="9"/>
      <color theme="10"/>
      <name val="Tahoma"/>
    </font>
    <font>
      <sz val="10"/>
      <color auto="1"/>
      <name val="Arial"/>
    </font>
    <font>
      <sz val="10"/>
      <color auto="1"/>
      <name val="Arial Cyr"/>
    </font>
    <font>
      <u/>
      <sz val="9"/>
      <color theme="11"/>
      <name val="Tahoma"/>
    </font>
    <font>
      <sz val="9"/>
      <color rgb="FFFFFFFF"/>
      <name val="Tahoma"/>
    </font>
    <font>
      <sz val="9"/>
      <color rgb="FFCC0000"/>
      <name val="Tahoma"/>
    </font>
    <font>
      <sz val="16"/>
      <color auto="1"/>
      <name val="Tahoma"/>
    </font>
    <font>
      <sz val="16"/>
      <color rgb="FFFFFFFF"/>
      <name val="Tahoma"/>
    </font>
    <font>
      <sz val="9"/>
      <color rgb="FFBCBCBC"/>
      <name val="Tahoma"/>
    </font>
    <font>
      <sz val="11"/>
      <color rgb="FFBCBCBC"/>
      <name val="Wingdings 2"/>
    </font>
    <font>
      <b/>
      <u/>
      <sz val="9"/>
      <color auto="1"/>
      <name val="Tahoma"/>
    </font>
    <font>
      <sz val="11"/>
      <color auto="1"/>
      <name val="Webdings2"/>
    </font>
    <font>
      <sz val="9"/>
      <color rgb="FF000080"/>
      <name val="Tahoma"/>
    </font>
    <font>
      <b/>
      <sz val="11"/>
      <color rgb="FF000000"/>
      <name val="Calibri"/>
    </font>
    <font>
      <sz val="11"/>
      <color auto="1"/>
      <name val="Wingdings 2"/>
    </font>
    <font>
      <b/>
      <sz val="9"/>
      <color rgb="FFFFFFFF"/>
      <name val="Tahoma"/>
    </font>
    <font>
      <b/>
      <u/>
      <sz val="9"/>
      <color rgb="FF000080"/>
      <name val="Tahoma"/>
    </font>
    <font>
      <sz val="8"/>
      <color auto="1"/>
      <name val="Tahoma"/>
    </font>
    <font>
      <sz val="10"/>
      <color auto="1"/>
      <name val="Tahoma"/>
    </font>
    <font>
      <sz val="9"/>
      <color theme="0"/>
      <name val="Tahoma"/>
    </font>
    <font>
      <sz val="1"/>
      <color theme="0"/>
      <name val="Tahoma"/>
    </font>
    <font>
      <b/>
      <sz val="1"/>
      <color theme="0"/>
      <name val="Calibri"/>
    </font>
    <font>
      <b/>
      <sz val="9"/>
      <color auto="1"/>
      <name val="Tahoma"/>
    </font>
    <font>
      <sz val="8"/>
      <color rgb="FFBCBCBC"/>
      <name val="Tahoma"/>
    </font>
    <font>
      <sz val="12"/>
      <color rgb="FF000000"/>
      <name val="Tahoma"/>
    </font>
    <font>
      <sz val="11"/>
      <color rgb="FF000000"/>
      <name val="Calibri"/>
    </font>
    <font>
      <u/>
      <sz val="9"/>
      <color rgb="FF333399"/>
      <name val="Tahoma"/>
    </font>
    <font>
      <sz val="9"/>
      <color rgb="FFFF0000"/>
      <name val="Tahoma"/>
    </font>
    <font>
      <sz val="5"/>
      <color rgb="FFFF0000"/>
      <name val="Tahoma"/>
    </font>
    <font>
      <sz val="11"/>
      <color theme="0"/>
      <name val="Wingdings 2"/>
    </font>
    <font>
      <sz val="5"/>
      <color theme="0"/>
      <name val="Tahoma"/>
    </font>
    <font>
      <sz val="3"/>
      <color rgb="FFFFFFFF"/>
      <name val="Tahoma"/>
    </font>
    <font>
      <sz val="3"/>
      <color rgb="FFCC0000"/>
      <name val="Tahoma"/>
    </font>
    <font>
      <sz val="3"/>
      <color auto="1"/>
      <name val="Tahoma"/>
    </font>
    <font>
      <sz val="3"/>
      <color rgb="FF000000"/>
      <name val="Tahoma"/>
    </font>
    <font>
      <sz val="3"/>
      <color rgb="FF993300"/>
      <name val="Tahoma"/>
    </font>
    <font>
      <sz val="1"/>
      <color rgb="FFFFFFFF"/>
      <name val="Tahoma"/>
    </font>
    <font>
      <sz val="18"/>
      <color auto="1"/>
      <name val="Tahoma"/>
    </font>
    <font>
      <sz val="18"/>
      <color rgb="FF000000"/>
      <name val="Tahoma"/>
    </font>
    <font>
      <sz val="11"/>
      <color rgb="FF000000"/>
      <name val="Tahoma"/>
    </font>
    <font>
      <sz val="1"/>
      <color rgb="FF000000"/>
      <name val="Tahoma"/>
    </font>
    <font>
      <sz val="15"/>
      <color rgb="FF000000"/>
      <name val="Tahoma"/>
    </font>
    <font>
      <sz val="11"/>
      <color theme="0"/>
      <name val="Webdings2"/>
    </font>
    <font>
      <u/>
      <sz val="1"/>
      <color rgb="FF333399"/>
      <name val="Tahoma"/>
    </font>
    <font>
      <sz val="15"/>
      <color auto="1"/>
      <name val="Tahoma"/>
    </font>
    <font>
      <sz val="1"/>
      <color auto="1"/>
      <name val="Tahoma"/>
    </font>
    <font>
      <b/>
      <sz val="9"/>
      <color rgb="FF000080"/>
      <name val="Tahoma"/>
    </font>
    <font>
      <sz val="12"/>
      <color theme="0"/>
      <name val="Tahoma"/>
    </font>
    <font>
      <sz val="9"/>
      <color theme="1"/>
      <name val="Tahoma"/>
    </font>
    <font>
      <sz val="9"/>
      <color rgb="FF0066CC"/>
      <name val="Tahoma"/>
    </font>
    <font>
      <b/>
      <sz val="10"/>
      <color theme="1"/>
      <name val="Tahoma"/>
    </font>
    <font>
      <sz val="10"/>
      <color theme="1"/>
      <name val="Tahoma"/>
    </font>
    <font>
      <sz val="3"/>
      <color rgb="FFBCBCBC"/>
      <name val="Tahoma"/>
    </font>
    <font>
      <sz val="1"/>
      <color rgb="FFBCBCBC"/>
      <name val="Tahoma"/>
    </font>
    <font>
      <sz val="12"/>
      <color auto="1"/>
      <name val="Marlett"/>
    </font>
    <font>
      <sz val="9"/>
      <color rgb="FFBCBCBC"/>
      <name val="Wingdings 2"/>
    </font>
    <font>
      <sz val="12"/>
      <color auto="1"/>
      <name val="Tahoma"/>
    </font>
    <font>
      <sz val="15"/>
      <color theme="0"/>
      <name val="Tahoma"/>
    </font>
    <font>
      <sz val="1"/>
      <color rgb="FFFF0000"/>
      <name val="Tahoma"/>
    </font>
    <font>
      <b/>
      <sz val="11"/>
      <color theme="0"/>
      <name val="Calibri"/>
    </font>
    <font>
      <sz val="11"/>
      <color theme="0"/>
      <name val="Tahoma"/>
    </font>
    <font>
      <sz val="3"/>
      <color theme="0"/>
      <name val="Tahoma"/>
    </font>
    <font>
      <b/>
      <sz val="3"/>
      <color auto="1"/>
      <name val="Tahoma"/>
    </font>
    <font>
      <b/>
      <sz val="9"/>
      <color rgb="FF0070C0"/>
      <name val="Tahoma"/>
    </font>
    <font>
      <sz val="7"/>
      <color auto="1"/>
      <name val="Tahoma"/>
    </font>
    <font>
      <sz val="7"/>
      <color rgb="FFFFFFFF"/>
      <name val="Tahoma"/>
    </font>
    <font>
      <sz val="7"/>
      <color theme="0" tint="-0.5"/>
      <name val="Tahoma"/>
    </font>
    <font>
      <sz val="8"/>
      <color theme="0"/>
      <name val="Tahoma"/>
    </font>
    <font>
      <sz val="7"/>
      <color rgb="FF000000"/>
      <name val="Tahoma"/>
    </font>
    <font>
      <b/>
      <sz val="9"/>
      <color theme="0"/>
      <name val="Tahoma"/>
    </font>
    <font>
      <b/>
      <sz val="1"/>
      <color theme="0"/>
      <name val="Tahoma"/>
    </font>
    <font>
      <sz val="19"/>
      <color theme="0"/>
      <name val="Tahoma"/>
    </font>
    <font>
      <sz val="8"/>
      <color rgb="FFFFFFFF"/>
      <name val="Tahoma"/>
    </font>
    <font>
      <b/>
      <sz val="1"/>
      <color auto="1"/>
      <name val="Tahoma"/>
    </font>
    <font>
      <b/>
      <sz val="1"/>
      <color rgb="FF000080"/>
      <name val="Tahoma"/>
    </font>
    <font>
      <b/>
      <sz val="10"/>
      <color auto="1"/>
      <name val="Tahoma"/>
    </font>
    <font>
      <b/>
      <sz val="9"/>
      <color rgb="FF000000"/>
      <name val="Tahoma"/>
    </font>
    <font>
      <sz val="10"/>
      <color rgb="FF000000"/>
      <name val="Arial"/>
    </font>
    <font>
      <sz val="8"/>
      <color rgb="FF000080"/>
      <name val="Tahoma"/>
    </font>
    <font>
      <sz val="1"/>
      <color auto="1"/>
      <name val="Webdings2"/>
    </font>
    <font>
      <sz val="1"/>
      <color theme="0"/>
      <name val="Webdings2"/>
    </font>
    <font>
      <b/>
      <sz val="9"/>
      <color auto="1"/>
      <name val="Calibri"/>
    </font>
    <font>
      <sz val="1"/>
      <color rgb="FF000080"/>
      <name val="Tahoma"/>
    </font>
    <font>
      <sz val="9"/>
      <color theme="0"/>
      <name val="Webdings2"/>
    </font>
    <font>
      <sz val="1"/>
      <color theme="0"/>
      <name val="Wingdings 2"/>
    </font>
    <font>
      <sz val="18"/>
      <color theme="0"/>
      <name val="Tahoma"/>
    </font>
    <font>
      <sz val="9"/>
      <color auto="1"/>
      <name val="Wingdings 2"/>
    </font>
    <font>
      <sz val="9"/>
      <color rgb="FFFFFFFF"/>
      <name val="Wingdings 2"/>
    </font>
    <font>
      <b/>
      <u/>
      <sz val="11"/>
      <color rgb="FF0000FF"/>
      <name val="Tahoma"/>
    </font>
    <font>
      <sz val="11"/>
      <color rgb="FFFFFFFF"/>
      <name val="Tahoma"/>
    </font>
    <font>
      <u/>
      <sz val="20"/>
      <color rgb="FF003366"/>
      <name val="Tahoma"/>
    </font>
    <font>
      <b/>
      <sz val="10"/>
      <color rgb="FF000000"/>
      <name val="Tahoma"/>
    </font>
    <font>
      <sz val="11"/>
      <color rgb="FF000000"/>
      <name val="Marlett"/>
    </font>
    <font>
      <sz val="10"/>
      <color rgb="FF000000"/>
      <name val="Tahoma"/>
    </font>
    <font>
      <sz val="14"/>
      <color rgb="FFBCBCBC"/>
      <name val="Calibri"/>
    </font>
    <font>
      <sz val="9"/>
      <color rgb="FF333399"/>
      <name val="Tahoma"/>
    </font>
    <font>
      <b/>
      <sz val="8"/>
      <color rgb="FFC0C0C0"/>
      <name val="Wingdings 2"/>
    </font>
    <font>
      <u/>
      <sz val="9"/>
      <color rgb="FF000080"/>
      <name val="Tahoma"/>
    </font>
    <font>
      <b/>
      <sz val="8"/>
      <color theme="0"/>
      <name val="Wingdings 2"/>
    </font>
    <font>
      <b/>
      <sz val="9"/>
      <color rgb="FFCC0000"/>
      <name val="Tahoma"/>
    </font>
    <font>
      <u/>
      <sz val="9"/>
      <color auto="1"/>
      <name val="Tahoma"/>
    </font>
  </fonts>
  <fills count="58">
    <fill>
      <patternFill patternType="none"/>
    </fill>
    <fill>
      <patternFill patternType="gray125"/>
    </fill>
    <fill>
      <patternFill patternType="solid">
        <fgColor theme="4" tint="0.8"/>
      </patternFill>
    </fill>
    <fill>
      <patternFill patternType="solid">
        <fgColor theme="5" tint="0.8"/>
      </patternFill>
    </fill>
    <fill>
      <patternFill patternType="solid">
        <fgColor theme="6" tint="0.8"/>
      </patternFill>
    </fill>
    <fill>
      <patternFill patternType="solid">
        <fgColor theme="7" tint="0.8"/>
      </patternFill>
    </fill>
    <fill>
      <patternFill patternType="solid">
        <fgColor theme="8" tint="0.8"/>
      </patternFill>
    </fill>
    <fill>
      <patternFill patternType="solid">
        <fgColor theme="9" tint="0.8"/>
      </patternFill>
    </fill>
    <fill>
      <patternFill patternType="solid">
        <fgColor theme="4" tint="0.6"/>
      </patternFill>
    </fill>
    <fill>
      <patternFill patternType="solid">
        <fgColor theme="5" tint="0.6"/>
      </patternFill>
    </fill>
    <fill>
      <patternFill patternType="solid">
        <fgColor theme="6" tint="0.6"/>
      </patternFill>
    </fill>
    <fill>
      <patternFill patternType="solid">
        <fgColor theme="7" tint="0.6"/>
      </patternFill>
    </fill>
    <fill>
      <patternFill patternType="solid">
        <fgColor theme="8" tint="0.6"/>
      </patternFill>
    </fill>
    <fill>
      <patternFill patternType="solid">
        <fgColor theme="9" tint="0.6"/>
      </patternFill>
    </fill>
    <fill>
      <patternFill patternType="solid">
        <fgColor theme="4" tint="0.4"/>
      </patternFill>
    </fill>
    <fill>
      <patternFill patternType="solid">
        <fgColor theme="5" tint="0.4"/>
      </patternFill>
    </fill>
    <fill>
      <patternFill patternType="solid">
        <fgColor theme="6" tint="0.4"/>
      </patternFill>
    </fill>
    <fill>
      <patternFill patternType="solid">
        <fgColor theme="7" tint="0.4"/>
      </patternFill>
    </fill>
    <fill>
      <patternFill patternType="solid">
        <fgColor theme="8" tint="0.4"/>
      </patternFill>
    </fill>
    <fill>
      <patternFill patternType="solid">
        <fgColor theme="9" tint="0.4"/>
      </patternFill>
    </fill>
    <fill>
      <patternFill patternType="solid">
        <fgColor theme="4"/>
      </patternFill>
    </fill>
    <fill>
      <patternFill patternType="solid">
        <fgColor theme="5"/>
      </patternFill>
    </fill>
    <fill>
      <patternFill patternType="solid">
        <fgColor theme="6"/>
      </patternFill>
    </fill>
    <fill>
      <patternFill patternType="solid">
        <fgColor theme="7"/>
      </patternFill>
    </fill>
    <fill>
      <patternFill patternType="solid">
        <fgColor theme="8"/>
      </patternFill>
    </fill>
    <fill>
      <patternFill patternType="solid">
        <fgColor theme="9"/>
      </patternFill>
    </fill>
    <fill>
      <patternFill patternType="solid">
        <fgColor rgb="FFFFC7CE"/>
      </patternFill>
    </fill>
    <fill>
      <patternFill patternType="solid">
        <fgColor rgb="FFF2F2F2"/>
      </patternFill>
    </fill>
    <fill>
      <patternFill patternType="solid">
        <fgColor rgb="FFA5A5A5"/>
      </patternFill>
    </fill>
    <fill>
      <patternFill patternType="solid">
        <fgColor rgb="FFC6EFCE"/>
      </patternFill>
    </fill>
    <fill>
      <patternFill patternType="solid">
        <fgColor rgb="FFFFCC99"/>
      </patternFill>
    </fill>
    <fill>
      <patternFill patternType="solid">
        <fgColor rgb="FFFFEB9C"/>
      </patternFill>
    </fill>
    <fill>
      <patternFill patternType="solid">
        <fgColor rgb="FFFFFFCC"/>
      </patternFill>
    </fill>
    <fill>
      <patternFill patternType="solid">
        <fgColor rgb="FFFFFF99"/>
      </patternFill>
    </fill>
    <fill>
      <patternFill patternType="solid">
        <fgColor rgb="FFD7EAD3"/>
      </patternFill>
    </fill>
    <fill>
      <patternFill patternType="solid">
        <fgColor rgb="FFFFFFFF"/>
      </patternFill>
    </fill>
    <fill>
      <patternFill patternType="solid">
        <fgColor rgb="FFFFFFC0"/>
      </patternFill>
    </fill>
    <fill>
      <patternFill patternType="lightDown">
        <fgColor rgb="FFC0C0C0"/>
      </patternFill>
    </fill>
    <fill>
      <patternFill patternType="solid">
        <fgColor rgb="FFFFB7B7"/>
      </patternFill>
    </fill>
    <fill>
      <patternFill patternType="solid">
        <fgColor rgb="FFE3FAFD"/>
      </patternFill>
    </fill>
    <fill>
      <patternFill patternType="solid">
        <fgColor rgb="FFB7E4FF"/>
      </patternFill>
    </fill>
    <fill>
      <patternFill patternType="solid">
        <fgColor rgb="FFC0C0C0"/>
      </patternFill>
    </fill>
    <fill>
      <patternFill patternType="solid">
        <fgColor theme="0"/>
      </patternFill>
    </fill>
    <fill>
      <patternFill patternType="solid">
        <fgColor rgb="FF8DB4E2"/>
      </patternFill>
    </fill>
    <fill>
      <patternFill patternType="solid">
        <fgColor theme="2" tint="-0.1"/>
      </patternFill>
    </fill>
    <fill>
      <patternFill patternType="solid">
        <fgColor theme="9" tint="-0.25"/>
      </patternFill>
    </fill>
    <fill>
      <patternFill patternType="solid">
        <fgColor theme="0" tint="-0.15"/>
      </patternFill>
    </fill>
    <fill>
      <patternFill patternType="solid">
        <fgColor rgb="FF0066CC"/>
      </patternFill>
    </fill>
    <fill>
      <patternFill patternType="solid">
        <fgColor rgb="FFFFFF00"/>
      </patternFill>
    </fill>
    <fill>
      <patternFill patternType="solid">
        <fgColor rgb="FFFF9900"/>
      </patternFill>
    </fill>
    <fill>
      <patternFill patternType="solid">
        <fgColor rgb="FF808000"/>
      </patternFill>
    </fill>
    <fill>
      <patternFill patternType="solid">
        <fgColor rgb="FFCC99FF"/>
      </patternFill>
    </fill>
    <fill>
      <patternFill patternType="lightDown">
        <fgColor rgb="FFB7E4FF"/>
        <bgColor rgb="FFFFFFFF"/>
      </patternFill>
    </fill>
    <fill>
      <patternFill patternType="solid">
        <fgColor rgb="FFD3DBDB"/>
      </patternFill>
    </fill>
    <fill>
      <patternFill patternType="solid">
        <fgColor rgb="FFCCCCFF"/>
      </patternFill>
    </fill>
    <fill>
      <patternFill patternType="solid">
        <fgColor rgb="FF00CCFF"/>
      </patternFill>
    </fill>
    <fill>
      <patternFill patternType="solid">
        <fgColor rgb="FFBCBCBC"/>
      </patternFill>
    </fill>
    <fill>
      <patternFill patternType="solid">
        <fgColor rgb="FFEAEBEE"/>
      </patternFill>
    </fill>
  </fills>
  <borders count="75">
    <border>
      <left/>
      <right/>
      <top/>
      <bottom/>
    </border>
    <border>
      <left style="thin">
        <color rgb="FF7F7F7F"/>
      </left>
      <right style="thin">
        <color rgb="FF7F7F7F"/>
      </right>
      <top style="thin">
        <color rgb="FF7F7F7F"/>
      </top>
      <bottom style="thin">
        <color rgb="FF7F7F7F"/>
      </bottom>
    </border>
    <border>
      <left style="double">
        <color rgb="FF3F3F3F"/>
      </left>
      <right style="double">
        <color rgb="FF3F3F3F"/>
      </right>
      <top style="double">
        <color rgb="FF3F3F3F"/>
      </top>
      <bottom style="double">
        <color rgb="FF3F3F3F"/>
      </bottom>
    </border>
    <border>
      <left/>
      <right/>
      <top/>
      <bottom style="thick">
        <color theme="4"/>
      </bottom>
    </border>
    <border>
      <left/>
      <right/>
      <top/>
      <bottom style="thick">
        <color theme="4" tint="0.5"/>
      </bottom>
    </border>
    <border>
      <left/>
      <right/>
      <top/>
      <bottom style="medium">
        <color theme="4" tint="0.4"/>
      </bottom>
    </border>
    <border>
      <left/>
      <right/>
      <top/>
      <bottom style="double">
        <color rgb="FFFF8001"/>
      </bottom>
    </border>
    <border>
      <left style="thin">
        <color rgb="FFB2B2B2"/>
      </left>
      <right style="thin">
        <color rgb="FFB2B2B2"/>
      </right>
      <top style="thin">
        <color rgb="FFB2B2B2"/>
      </top>
      <bottom style="thin">
        <color rgb="FFB2B2B2"/>
      </bottom>
    </border>
    <border>
      <left style="thin">
        <color rgb="FF3F3F3F"/>
      </left>
      <right style="thin">
        <color rgb="FF3F3F3F"/>
      </right>
      <top style="thin">
        <color rgb="FF3F3F3F"/>
      </top>
      <bottom style="thin">
        <color rgb="FF3F3F3F"/>
      </bottom>
    </border>
    <border>
      <left/>
      <right/>
      <top style="thin">
        <color theme="4"/>
      </top>
      <bottom style="double">
        <color theme="4"/>
      </bottom>
    </border>
    <border>
      <left style="thin">
        <color rgb="FF000000"/>
      </left>
      <right style="thin">
        <color rgb="FF000000"/>
      </right>
      <top style="thin">
        <color rgb="FF000000"/>
      </top>
      <bottom style="thin">
        <color rgb="FF000000"/>
      </bottom>
    </border>
    <border>
      <left style="thin">
        <color rgb="FFBCBCBC"/>
      </left>
      <right style="thin">
        <color rgb="FFBCBCBC"/>
      </right>
      <top style="thin">
        <color rgb="FFBCBCBC"/>
      </top>
      <bottom style="thin">
        <color rgb="FFBCBCBC"/>
      </bottom>
    </border>
    <border>
      <left style="thin">
        <color rgb="FFC0C0C0"/>
      </left>
      <right style="thin">
        <color rgb="FFC0C0C0"/>
      </right>
      <top style="thin">
        <color rgb="FFC0C0C0"/>
      </top>
      <bottom style="thin">
        <color rgb="FFC0C0C0"/>
      </bottom>
    </border>
    <border>
      <left/>
      <right style="thin">
        <color rgb="FFC0C0C0"/>
      </right>
      <top style="thin">
        <color rgb="FFC0C0C0"/>
      </top>
      <bottom style="thin">
        <color rgb="FFC0C0C0"/>
      </bottom>
    </border>
    <border>
      <left style="thin">
        <color rgb="FFC0C0C0"/>
      </left>
      <right/>
      <top style="thin">
        <color rgb="FFC0C0C0"/>
      </top>
      <bottom style="thin">
        <color rgb="FFC0C0C0"/>
      </bottom>
    </border>
    <border>
      <left/>
      <right/>
      <top style="thin">
        <color rgb="FFC0C0C0"/>
      </top>
      <bottom style="thin">
        <color rgb="FFC0C0C0"/>
      </bottom>
    </border>
    <border>
      <left style="thin">
        <color rgb="FFD3DBDB"/>
      </left>
      <right style="thin">
        <color rgb="FFD3DBDB"/>
      </right>
      <top style="thin">
        <color rgb="FFD3DBDB"/>
      </top>
      <bottom style="thin">
        <color rgb="FFD3DBDB"/>
      </bottom>
    </border>
    <border>
      <left style="thin">
        <color rgb="FFC0C0C0"/>
      </left>
      <right style="thin">
        <color rgb="FFC0C0C0"/>
      </right>
      <top style="thin">
        <color rgb="FFC0C0C0"/>
      </top>
      <bottom/>
    </border>
    <border>
      <left/>
      <right/>
      <top style="dotted">
        <color rgb="FF000000"/>
      </top>
      <bottom style="dotted">
        <color rgb="FF000000"/>
      </bottom>
    </border>
    <border>
      <left/>
      <right/>
      <top style="thin">
        <color rgb="FFC0C0C0"/>
      </top>
      <bottom/>
    </border>
    <border>
      <left/>
      <right style="thin">
        <color rgb="FFC0C0C0"/>
      </right>
      <top style="thin">
        <color rgb="FFC0C0C0"/>
      </top>
      <bottom/>
    </border>
    <border>
      <left/>
      <right/>
      <top style="thin">
        <color rgb="FFD3DBDB"/>
      </top>
      <bottom/>
    </border>
    <border>
      <left style="thin">
        <color rgb="FFC0C0C0"/>
      </left>
      <right/>
      <top/>
      <bottom/>
    </border>
    <border>
      <left style="thin">
        <color rgb="FFC0C0C0"/>
      </left>
      <right style="thin">
        <color rgb="FFC0C0C0"/>
      </right>
      <top/>
      <bottom style="thin">
        <color rgb="FFC0C0C0"/>
      </bottom>
    </border>
    <border>
      <left/>
      <right style="thin">
        <color rgb="FFC0C0C0"/>
      </right>
      <top/>
      <bottom/>
    </border>
    <border>
      <left style="thin">
        <color rgb="FFC0C0C0"/>
      </left>
      <right style="thin">
        <color rgb="FFC0C0C0"/>
      </right>
      <top style="thin">
        <color rgb="FFC0C0C0"/>
      </top>
      <bottom style="thin">
        <color rgb="FFBCBCBC"/>
      </bottom>
    </border>
    <border>
      <left style="hair">
        <color rgb="FFC0C0C0"/>
      </left>
      <right/>
      <top style="hair">
        <color rgb="FFC0C0C0"/>
      </top>
      <bottom style="hair">
        <color rgb="FFC0C0C0"/>
      </bottom>
    </border>
    <border>
      <left/>
      <right/>
      <top/>
      <bottom style="thin">
        <color rgb="FFC0C0C0"/>
      </bottom>
    </border>
    <border>
      <left style="thin">
        <color theme="0" tint="-0.25"/>
      </left>
      <right style="thin">
        <color rgb="FFC0C0C0"/>
      </right>
      <top style="thin">
        <color rgb="FFC0C0C0"/>
      </top>
      <bottom style="thin">
        <color rgb="FFC0C0C0"/>
      </bottom>
    </border>
    <border>
      <left/>
      <right style="thin">
        <color rgb="FFC0C0C0"/>
      </right>
      <top/>
      <bottom style="thin">
        <color rgb="FFC0C0C0"/>
      </bottom>
    </border>
    <border>
      <left style="thin">
        <color rgb="FFC0C0C0"/>
      </left>
      <right/>
      <top/>
      <bottom style="thin">
        <color rgb="FFC0C0C0"/>
      </bottom>
    </border>
    <border>
      <left style="thin">
        <color theme="0" tint="-0.25"/>
      </left>
      <right style="thin">
        <color theme="0" tint="-0.25"/>
      </right>
      <top style="thin">
        <color theme="0" tint="-0.25"/>
      </top>
      <bottom style="thin">
        <color theme="0" tint="-0.25"/>
      </bottom>
    </border>
    <border>
      <left style="thin">
        <color theme="0" tint="-0.25"/>
      </left>
      <right style="thin">
        <color theme="0" tint="-0.25"/>
      </right>
      <top/>
      <bottom style="thin">
        <color theme="0" tint="-0.25"/>
      </bottom>
    </border>
    <border>
      <left style="thin">
        <color theme="0" tint="-0.25"/>
      </left>
      <right/>
      <top style="thin">
        <color theme="0" tint="-0.25"/>
      </top>
      <bottom style="thin">
        <color theme="0" tint="-0.25"/>
      </bottom>
    </border>
    <border>
      <left style="thin">
        <color theme="0" tint="-0.25"/>
      </left>
      <right/>
      <top/>
      <bottom style="thin">
        <color theme="0" tint="-0.25"/>
      </bottom>
    </border>
    <border>
      <left style="thin">
        <color theme="0" tint="-0.25"/>
      </left>
      <right style="thin">
        <color theme="0" tint="-0.25"/>
      </right>
      <top style="thin">
        <color theme="0" tint="-0.25"/>
      </top>
      <bottom/>
    </border>
    <border>
      <left style="thin">
        <color rgb="FFC0C0C0"/>
      </left>
      <right style="thin">
        <color rgb="FFC0C0C0"/>
      </right>
      <top/>
      <bottom/>
    </border>
    <border>
      <left style="thin">
        <color rgb="FFC0C0C0"/>
      </left>
      <right/>
      <top style="thin">
        <color rgb="FFC0C0C0"/>
      </top>
      <bottom/>
    </border>
    <border>
      <left style="thin">
        <color rgb="FFBCBCBC"/>
      </left>
      <right/>
      <top/>
      <bottom/>
    </border>
    <border>
      <left/>
      <right/>
      <top/>
      <bottom style="thin">
        <color rgb="FFBCBCBC"/>
      </bottom>
    </border>
    <border>
      <left style="thin">
        <color theme="0" tint="-0.25"/>
      </left>
      <right style="thin">
        <color theme="0" tint="-0.25"/>
      </right>
      <top/>
      <bottom/>
    </border>
    <border>
      <left/>
      <right/>
      <top style="thin">
        <color rgb="FFBCBCBC"/>
      </top>
      <bottom style="thin">
        <color rgb="FFBCBCBC"/>
      </bottom>
    </border>
    <border>
      <left style="thin">
        <color rgb="FFC0C0C0"/>
      </left>
      <right/>
      <top style="thin">
        <color rgb="FFBCBCBC"/>
      </top>
      <bottom style="thin">
        <color rgb="FFC0C0C0"/>
      </bottom>
    </border>
    <border>
      <left/>
      <right/>
      <top style="thin">
        <color rgb="FFBCBCBC"/>
      </top>
      <bottom style="thin">
        <color rgb="FFC0C0C0"/>
      </bottom>
    </border>
    <border>
      <left/>
      <right/>
      <top style="thin">
        <color rgb="FFD3DBDB"/>
      </top>
      <bottom style="thin">
        <color rgb="FFD3DBDB"/>
      </bottom>
    </border>
    <border>
      <left style="thin">
        <color rgb="FFD3DBDB"/>
      </left>
      <right/>
      <top style="thin">
        <color rgb="FFD3DBDB"/>
      </top>
      <bottom style="thin">
        <color rgb="FFD3DBDB"/>
      </bottom>
    </border>
    <border>
      <left style="thin">
        <color theme="0" tint="-0.35"/>
      </left>
      <right style="thin">
        <color theme="0" tint="-0.35"/>
      </right>
      <top style="thin">
        <color theme="0" tint="-0.35"/>
      </top>
      <bottom style="thin">
        <color theme="0" tint="-0.35"/>
      </bottom>
    </border>
    <border>
      <left style="thin">
        <color rgb="FFBCBCBC"/>
      </left>
      <right/>
      <top style="medium">
        <color rgb="FFBCBCBC"/>
      </top>
      <bottom style="thin">
        <color rgb="FFC0C0C0"/>
      </bottom>
    </border>
    <border>
      <left style="thin">
        <color rgb="FFBCBCBC"/>
      </left>
      <right/>
      <top style="medium">
        <color rgb="FFBCBCBC"/>
      </top>
      <bottom/>
    </border>
    <border>
      <left/>
      <right/>
      <top style="medium">
        <color rgb="FFBCBCBC"/>
      </top>
      <bottom/>
    </border>
    <border>
      <left/>
      <right/>
      <top/>
      <bottom style="medium">
        <color rgb="FFC0C0C0"/>
      </bottom>
    </border>
    <border>
      <left/>
      <right/>
      <top style="thin">
        <color rgb="FFC0C0C0"/>
      </top>
      <bottom style="medium">
        <color rgb="FFC0C0C0"/>
      </bottom>
    </border>
    <border>
      <left/>
      <right style="thin">
        <color theme="0" tint="-0.25"/>
      </right>
      <top style="thin">
        <color rgb="FFC0C0C0"/>
      </top>
      <bottom style="thin">
        <color rgb="FFC0C0C0"/>
      </bottom>
    </border>
    <border>
      <left/>
      <right/>
      <top style="medium">
        <color rgb="FFBCBCBC"/>
      </top>
      <bottom style="thin">
        <color rgb="FFBCBCBC"/>
      </bottom>
    </border>
    <border>
      <left/>
      <right style="thin">
        <color rgb="FFBCBCBC"/>
      </right>
      <top style="medium">
        <color rgb="FFBCBCBC"/>
      </top>
      <bottom style="thin">
        <color rgb="FFBCBCBC"/>
      </bottom>
    </border>
    <border>
      <left/>
      <right/>
      <top style="medium">
        <color rgb="FFC0C0C0"/>
      </top>
      <bottom style="thin">
        <color rgb="FFC0C0C0"/>
      </bottom>
    </border>
    <border>
      <left style="thin">
        <color rgb="FFC0C0C0"/>
      </left>
      <right/>
      <top style="thin">
        <color rgb="FFC0C0C0"/>
      </top>
      <bottom style="medium">
        <color rgb="FFC0C0C0"/>
      </bottom>
    </border>
    <border>
      <left style="thin">
        <color theme="0" tint="-0.25"/>
      </left>
      <right style="thin">
        <color rgb="FFC0C0C0"/>
      </right>
      <top style="thin">
        <color rgb="FFC0C0C0"/>
      </top>
      <bottom/>
    </border>
    <border>
      <left style="thin">
        <color theme="0" tint="-0.25"/>
      </left>
      <right/>
      <top style="thin">
        <color rgb="FFC0C0C0"/>
      </top>
      <bottom style="thin">
        <color rgb="FFC0C0C0"/>
      </bottom>
    </border>
    <border>
      <left style="thin">
        <color theme="0" tint="-0.25"/>
      </left>
      <right/>
      <top style="thin">
        <color rgb="FFC0C0C0"/>
      </top>
      <bottom/>
    </border>
    <border>
      <left style="thin">
        <color rgb="FFBCBCBC"/>
      </left>
      <right/>
      <top style="thin">
        <color rgb="FFBCBCBC"/>
      </top>
      <bottom/>
    </border>
    <border>
      <left/>
      <right/>
      <top style="thin">
        <color rgb="FFBCBCBC"/>
      </top>
      <bottom/>
    </border>
    <border>
      <left style="thin">
        <color rgb="FFBCBCBC"/>
      </left>
      <right/>
      <top/>
      <bottom style="thin">
        <color rgb="FFBCBCBC"/>
      </bottom>
    </border>
    <border>
      <left style="thin">
        <color rgb="FF999999"/>
      </left>
      <right/>
      <top style="thin">
        <color rgb="FF999999"/>
      </top>
      <bottom style="thin">
        <color rgb="FF999999"/>
      </bottom>
    </border>
    <border>
      <left/>
      <right/>
      <top style="thin">
        <color rgb="FF999999"/>
      </top>
      <bottom style="thin">
        <color rgb="FF999999"/>
      </bottom>
    </border>
    <border>
      <left/>
      <right style="thin">
        <color rgb="FF999999"/>
      </right>
      <top style="thin">
        <color rgb="FF999999"/>
      </top>
      <bottom style="thin">
        <color rgb="FF999999"/>
      </bottom>
    </border>
    <border>
      <left/>
      <right style="thin">
        <color rgb="FFBCBCBC"/>
      </right>
      <top/>
      <bottom/>
    </border>
    <border>
      <left/>
      <right style="thin">
        <color rgb="FFBCBCBC"/>
      </right>
      <top style="thin">
        <color rgb="FFBCBCBC"/>
      </top>
      <bottom/>
    </border>
    <border>
      <left style="thin">
        <color rgb="FFC0C0C0"/>
      </left>
      <right style="thin">
        <color rgb="FFC0C0C0"/>
      </right>
      <top style="thin">
        <color rgb="FFBCBCBC"/>
      </top>
      <bottom style="thin">
        <color rgb="FFBCBCBC"/>
      </bottom>
    </border>
    <border>
      <left style="thin">
        <color rgb="FFC0C0C0"/>
      </left>
      <right/>
      <top style="thin">
        <color rgb="FFBCBCBC"/>
      </top>
      <bottom style="thin">
        <color rgb="FFBCBCBC"/>
      </bottom>
    </border>
    <border>
      <left/>
      <right style="thin">
        <color rgb="FFC0C0C0"/>
      </right>
      <top style="thin">
        <color rgb="FFBCBCBC"/>
      </top>
      <bottom style="thin">
        <color rgb="FFBCBCBC"/>
      </bottom>
    </border>
    <border>
      <left style="thin">
        <color rgb="FFBCBCBC"/>
      </left>
      <right/>
      <top style="thin">
        <color rgb="FFBCBCBC"/>
      </top>
      <bottom style="thin">
        <color rgb="FFBCBCBC"/>
      </bottom>
    </border>
    <border>
      <left/>
      <right style="thin">
        <color rgb="FFBCBCBC"/>
      </right>
      <top style="thin">
        <color rgb="FFBCBCBC"/>
      </top>
      <bottom style="thin">
        <color rgb="FFBCBCBC"/>
      </bottom>
    </border>
    <border>
      <left style="thin">
        <color rgb="FFBCBCBC"/>
      </left>
      <right/>
      <top style="thin">
        <color rgb="FFBCBCBC"/>
      </top>
      <bottom style="thin">
        <color rgb="FFC0C0C0"/>
      </bottom>
    </border>
    <border>
      <left style="thin">
        <color rgb="FFC0C0C0"/>
      </left>
      <right style="thin">
        <color rgb="FFC0C0C0"/>
      </right>
      <top style="thin">
        <color rgb="FFC0C0C0"/>
      </top>
      <bottom style="medium">
        <color rgb="FFC0C0C0"/>
      </bottom>
    </border>
  </borders>
  <cellStyleXfs count="64">
    <xf numFmtId="49" fontId="0" fillId="0" borderId="0" applyFont="1" applyFill="0" applyBorder="0" applyNumberFormat="1">
      <alignment vertical="top"/>
    </xf>
    <xf numFmtId="0" fontId="1" fillId="2" borderId="0" applyFont="1" applyFill="1" applyBorder="0">
      <alignment vertical="top"/>
    </xf>
    <xf numFmtId="0" fontId="1" fillId="3" borderId="0" applyFont="1" applyFill="1" applyBorder="0">
      <alignment vertical="top"/>
    </xf>
    <xf numFmtId="0" fontId="1" fillId="4" borderId="0" applyFont="1" applyFill="1" applyBorder="0">
      <alignment vertical="top"/>
    </xf>
    <xf numFmtId="0" fontId="1" fillId="5" borderId="0" applyFont="1" applyFill="1" applyBorder="0">
      <alignment vertical="top"/>
    </xf>
    <xf numFmtId="0" fontId="1" fillId="6" borderId="0" applyFont="1" applyFill="1" applyBorder="0">
      <alignment vertical="top"/>
    </xf>
    <xf numFmtId="0" fontId="1" fillId="7" borderId="0" applyFont="1" applyFill="1" applyBorder="0">
      <alignment vertical="top"/>
    </xf>
    <xf numFmtId="0" fontId="1" fillId="8" borderId="0" applyFont="1" applyFill="1" applyBorder="0">
      <alignment vertical="top"/>
    </xf>
    <xf numFmtId="0" fontId="1" fillId="9" borderId="0" applyFont="1" applyFill="1" applyBorder="0">
      <alignment vertical="top"/>
    </xf>
    <xf numFmtId="0" fontId="1" fillId="10" borderId="0" applyFont="1" applyFill="1" applyBorder="0">
      <alignment vertical="top"/>
    </xf>
    <xf numFmtId="0" fontId="1" fillId="11" borderId="0" applyFont="1" applyFill="1" applyBorder="0">
      <alignment vertical="top"/>
    </xf>
    <xf numFmtId="0" fontId="1" fillId="12" borderId="0" applyFont="1" applyFill="1" applyBorder="0">
      <alignment vertical="top"/>
    </xf>
    <xf numFmtId="0" fontId="1" fillId="13" borderId="0" applyFont="1" applyFill="1" applyBorder="0">
      <alignment vertical="top"/>
    </xf>
    <xf numFmtId="0" fontId="1" fillId="14" borderId="0" applyFont="1" applyFill="1" applyBorder="0">
      <alignment vertical="top"/>
    </xf>
    <xf numFmtId="0" fontId="1" fillId="15" borderId="0" applyFont="1" applyFill="1" applyBorder="0">
      <alignment vertical="top"/>
    </xf>
    <xf numFmtId="0" fontId="1" fillId="16" borderId="0" applyFont="1" applyFill="1" applyBorder="0">
      <alignment vertical="top"/>
    </xf>
    <xf numFmtId="0" fontId="1" fillId="17" borderId="0" applyFont="1" applyFill="1" applyBorder="0">
      <alignment vertical="top"/>
    </xf>
    <xf numFmtId="0" fontId="1" fillId="18" borderId="0" applyFont="1" applyFill="1" applyBorder="0">
      <alignment vertical="top"/>
    </xf>
    <xf numFmtId="0" fontId="1" fillId="19" borderId="0" applyFont="1" applyFill="1" applyBorder="0">
      <alignment vertical="top"/>
    </xf>
    <xf numFmtId="0" fontId="2" fillId="20" borderId="0" applyFont="1" applyFill="1" applyBorder="0">
      <alignment vertical="top"/>
    </xf>
    <xf numFmtId="0" fontId="2" fillId="21" borderId="0" applyFont="1" applyFill="1" applyBorder="0">
      <alignment vertical="top"/>
    </xf>
    <xf numFmtId="0" fontId="2" fillId="22" borderId="0" applyFont="1" applyFill="1" applyBorder="0">
      <alignment vertical="top"/>
    </xf>
    <xf numFmtId="0" fontId="2" fillId="23" borderId="0" applyFont="1" applyFill="1" applyBorder="0">
      <alignment vertical="top"/>
    </xf>
    <xf numFmtId="0" fontId="2" fillId="24" borderId="0" applyFont="1" applyFill="1" applyBorder="0">
      <alignment vertical="top"/>
    </xf>
    <xf numFmtId="0" fontId="2" fillId="25" borderId="0" applyFont="1" applyFill="1" applyBorder="0">
      <alignment vertical="top"/>
    </xf>
    <xf numFmtId="0" fontId="3" fillId="26" borderId="0" applyFont="1" applyFill="1" applyBorder="0">
      <alignment vertical="top"/>
    </xf>
    <xf numFmtId="0" fontId="4" fillId="27" borderId="1" applyFont="1" applyFill="1" applyBorder="1">
      <alignment vertical="top"/>
    </xf>
    <xf numFmtId="0" fontId="5" fillId="28" borderId="2" applyFont="1" applyFill="1" applyBorder="1">
      <alignment vertical="top"/>
    </xf>
    <xf numFmtId="193" fontId="6" fillId="0" borderId="0" applyFont="0" applyFill="0" applyBorder="0" applyNumberFormat="1">
      <alignment vertical="top"/>
    </xf>
    <xf numFmtId="194" fontId="6" fillId="0" borderId="0" applyFont="0" applyFill="0" applyBorder="0" applyNumberFormat="1">
      <alignment vertical="top"/>
    </xf>
    <xf numFmtId="195" fontId="6" fillId="0" borderId="0" applyFont="0" applyFill="0" applyBorder="0" applyNumberFormat="1">
      <alignment vertical="top"/>
    </xf>
    <xf numFmtId="196" fontId="6" fillId="0" borderId="0" applyFont="0" applyFill="0" applyBorder="0" applyNumberFormat="1">
      <alignment vertical="top"/>
    </xf>
    <xf numFmtId="0" fontId="7" fillId="0" borderId="0" applyFont="1" applyFill="0" applyBorder="0">
      <alignment vertical="top"/>
    </xf>
    <xf numFmtId="0" fontId="8" fillId="29" borderId="0" applyFont="1" applyFill="1" applyBorder="0">
      <alignment vertical="top"/>
    </xf>
    <xf numFmtId="0" fontId="9" fillId="0" borderId="3" applyFont="1" applyFill="0" applyBorder="1">
      <alignment vertical="top"/>
    </xf>
    <xf numFmtId="0" fontId="10" fillId="0" borderId="4" applyFont="1" applyFill="0" applyBorder="1">
      <alignment vertical="top"/>
    </xf>
    <xf numFmtId="0" fontId="11" fillId="0" borderId="5" applyFont="1" applyFill="0" applyBorder="1">
      <alignment vertical="top"/>
    </xf>
    <xf numFmtId="0" fontId="11" fillId="0" borderId="0" applyFont="1" applyFill="0" applyBorder="0">
      <alignment vertical="top"/>
    </xf>
    <xf numFmtId="0" fontId="12" fillId="30" borderId="1" applyFont="1" applyFill="1" applyBorder="1">
      <alignment vertical="top"/>
    </xf>
    <xf numFmtId="0" fontId="13" fillId="0" borderId="6" applyFont="1" applyFill="0" applyBorder="1">
      <alignment vertical="top"/>
    </xf>
    <xf numFmtId="0" fontId="14" fillId="31" borderId="0" applyFont="1" applyFill="1" applyBorder="0">
      <alignment vertical="top"/>
    </xf>
    <xf numFmtId="0" fontId="15" fillId="0" borderId="0" applyFont="1" applyFill="0" applyBorder="0">
      <alignment vertical="top"/>
    </xf>
    <xf numFmtId="0" fontId="6" fillId="32" borderId="7" applyFont="0" applyFill="1" applyBorder="1">
      <alignment vertical="top"/>
    </xf>
    <xf numFmtId="0" fontId="16" fillId="27" borderId="8" applyFont="1" applyFill="1" applyBorder="1">
      <alignment vertical="top"/>
    </xf>
    <xf numFmtId="9" fontId="6" fillId="0" borderId="0" applyFont="0" applyFill="0" applyBorder="0" applyNumberFormat="1">
      <alignment vertical="top"/>
    </xf>
    <xf numFmtId="0" fontId="17" fillId="0" borderId="0" applyFont="1" applyFill="0" applyBorder="0">
      <alignment vertical="top"/>
    </xf>
    <xf numFmtId="0" fontId="18" fillId="0" borderId="9" applyFont="1" applyFill="0" applyBorder="1">
      <alignment vertical="top"/>
    </xf>
    <xf numFmtId="0" fontId="19" fillId="0" borderId="0" applyFont="1" applyFill="0" applyBorder="0">
      <alignment vertical="top"/>
    </xf>
    <xf numFmtId="0" fontId="20" fillId="0" borderId="0" applyFont="1" applyFill="0" applyBorder="0"/>
    <xf numFmtId="197" fontId="20" fillId="0" borderId="0" applyFont="1" applyFill="0" applyBorder="0" applyNumberFormat="1"/>
    <xf numFmtId="38" fontId="21" fillId="0" borderId="0" applyFont="1" applyFill="0" applyBorder="0" applyNumberFormat="1">
      <alignment vertical="top"/>
    </xf>
    <xf numFmtId="198" fontId="22" fillId="33" borderId="0" applyFont="1" applyFill="1" applyBorder="0" applyNumberFormat="1">
      <protection locked="0"/>
    </xf>
    <xf numFmtId="0" fontId="23" fillId="0" borderId="0" applyFont="1" applyFill="0" applyBorder="0">
      <alignment vertical="center"/>
    </xf>
    <xf numFmtId="199" fontId="22" fillId="33" borderId="0" applyFont="1" applyFill="1" applyBorder="0" applyNumberFormat="1">
      <protection locked="0"/>
    </xf>
    <xf numFmtId="200" fontId="22" fillId="33" borderId="0" applyFont="1" applyFill="1" applyBorder="0" applyNumberFormat="1">
      <protection locked="0"/>
    </xf>
    <xf numFmtId="0" fontId="24" fillId="0" borderId="0" applyFont="1" applyFill="0" applyBorder="0">
      <alignment vertical="top"/>
    </xf>
    <xf numFmtId="0" fontId="25" fillId="0" borderId="0" applyFont="1" applyFill="0" applyBorder="0">
      <alignment vertical="top"/>
    </xf>
    <xf numFmtId="0" fontId="26" fillId="0" borderId="0" applyFont="1" applyFill="0" applyBorder="0"/>
    <xf numFmtId="0" fontId="27" fillId="0" borderId="0" applyFont="1" applyFill="0" applyBorder="0">
      <alignment vertical="top"/>
    </xf>
    <xf numFmtId="49" fontId="22" fillId="0" borderId="0" applyFont="1" applyFill="0" applyBorder="0" applyNumberFormat="1">
      <alignment vertical="top"/>
    </xf>
    <xf numFmtId="0" fontId="28" fillId="0" borderId="0" applyFont="1" applyFill="0" applyBorder="0"/>
    <xf numFmtId="49" fontId="0" fillId="0" borderId="0" applyFont="1" applyFill="0" applyBorder="0" applyNumberFormat="1">
      <alignment vertical="top"/>
    </xf>
    <xf numFmtId="0" fontId="29" fillId="0" borderId="0" applyFont="1" applyFill="0" applyBorder="0"/>
    <xf numFmtId="0" fontId="30" fillId="0" borderId="0" applyFont="1" applyFill="0" applyBorder="0">
      <alignment vertical="top"/>
    </xf>
  </cellStyleXfs>
  <cellXfs count="2659">
    <xf numFmtId="49" fontId="0" fillId="0" borderId="0" xfId="0" applyFont="1" applyNumberFormat="1">
      <alignment vertical="top"/>
    </xf>
    <xf numFmtId="0" fontId="1" fillId="2" borderId="0" xfId="1" applyFont="1" applyFill="1">
      <alignment vertical="top"/>
    </xf>
    <xf numFmtId="0" fontId="1" fillId="3" borderId="0" xfId="2" applyFont="1" applyFill="1">
      <alignment vertical="top"/>
    </xf>
    <xf numFmtId="0" fontId="1" fillId="4" borderId="0" xfId="3" applyFont="1" applyFill="1">
      <alignment vertical="top"/>
    </xf>
    <xf numFmtId="0" fontId="1" fillId="5" borderId="0" xfId="4" applyFont="1" applyFill="1">
      <alignment vertical="top"/>
    </xf>
    <xf numFmtId="0" fontId="1" fillId="6" borderId="0" xfId="5" applyFont="1" applyFill="1">
      <alignment vertical="top"/>
    </xf>
    <xf numFmtId="0" fontId="1" fillId="7" borderId="0" xfId="6" applyFont="1" applyFill="1">
      <alignment vertical="top"/>
    </xf>
    <xf numFmtId="0" fontId="1" fillId="8" borderId="0" xfId="7" applyFont="1" applyFill="1">
      <alignment vertical="top"/>
    </xf>
    <xf numFmtId="0" fontId="1" fillId="9" borderId="0" xfId="8" applyFont="1" applyFill="1">
      <alignment vertical="top"/>
    </xf>
    <xf numFmtId="0" fontId="1" fillId="10" borderId="0" xfId="9" applyFont="1" applyFill="1">
      <alignment vertical="top"/>
    </xf>
    <xf numFmtId="0" fontId="1" fillId="11" borderId="0" xfId="10" applyFont="1" applyFill="1">
      <alignment vertical="top"/>
    </xf>
    <xf numFmtId="0" fontId="1" fillId="12" borderId="0" xfId="11" applyFont="1" applyFill="1">
      <alignment vertical="top"/>
    </xf>
    <xf numFmtId="0" fontId="1" fillId="13" borderId="0" xfId="12" applyFont="1" applyFill="1">
      <alignment vertical="top"/>
    </xf>
    <xf numFmtId="0" fontId="1" fillId="14" borderId="0" xfId="13" applyFont="1" applyFill="1">
      <alignment vertical="top"/>
    </xf>
    <xf numFmtId="0" fontId="1" fillId="15" borderId="0" xfId="14" applyFont="1" applyFill="1">
      <alignment vertical="top"/>
    </xf>
    <xf numFmtId="0" fontId="1" fillId="16" borderId="0" xfId="15" applyFont="1" applyFill="1">
      <alignment vertical="top"/>
    </xf>
    <xf numFmtId="0" fontId="1" fillId="17" borderId="0" xfId="16" applyFont="1" applyFill="1">
      <alignment vertical="top"/>
    </xf>
    <xf numFmtId="0" fontId="1" fillId="18" borderId="0" xfId="17" applyFont="1" applyFill="1">
      <alignment vertical="top"/>
    </xf>
    <xf numFmtId="0" fontId="1" fillId="19" borderId="0" xfId="18" applyFont="1" applyFill="1">
      <alignment vertical="top"/>
    </xf>
    <xf numFmtId="0" fontId="2" fillId="20" borderId="0" xfId="19" applyFont="1" applyFill="1">
      <alignment vertical="top"/>
    </xf>
    <xf numFmtId="0" fontId="2" fillId="21" borderId="0" xfId="20" applyFont="1" applyFill="1">
      <alignment vertical="top"/>
    </xf>
    <xf numFmtId="0" fontId="2" fillId="22" borderId="0" xfId="21" applyFont="1" applyFill="1">
      <alignment vertical="top"/>
    </xf>
    <xf numFmtId="0" fontId="2" fillId="23" borderId="0" xfId="22" applyFont="1" applyFill="1">
      <alignment vertical="top"/>
    </xf>
    <xf numFmtId="0" fontId="2" fillId="24" borderId="0" xfId="23" applyFont="1" applyFill="1">
      <alignment vertical="top"/>
    </xf>
    <xf numFmtId="0" fontId="2" fillId="25" borderId="0" xfId="24" applyFont="1" applyFill="1">
      <alignment vertical="top"/>
    </xf>
    <xf numFmtId="0" fontId="3" fillId="26" borderId="0" xfId="25" applyFont="1" applyFill="1">
      <alignment vertical="top"/>
    </xf>
    <xf numFmtId="0" fontId="4" fillId="27" borderId="1" xfId="26" applyFont="1" applyFill="1" applyBorder="1">
      <alignment vertical="top"/>
    </xf>
    <xf numFmtId="0" fontId="5" fillId="28" borderId="2" xfId="27" applyFont="1" applyFill="1" applyBorder="1">
      <alignment vertical="top"/>
    </xf>
    <xf numFmtId="193" fontId="6" fillId="0" borderId="0" xfId="28" applyFont="0" applyNumberFormat="1">
      <alignment vertical="top"/>
    </xf>
    <xf numFmtId="194" fontId="6" fillId="0" borderId="0" xfId="29" applyFont="0" applyNumberFormat="1">
      <alignment vertical="top"/>
    </xf>
    <xf numFmtId="195" fontId="6" fillId="0" borderId="0" xfId="30" applyFont="0" applyNumberFormat="1">
      <alignment vertical="top"/>
    </xf>
    <xf numFmtId="196" fontId="6" fillId="0" borderId="0" xfId="31" applyFont="0" applyNumberFormat="1">
      <alignment vertical="top"/>
    </xf>
    <xf numFmtId="0" fontId="7" fillId="0" borderId="0" xfId="32" applyFont="1">
      <alignment vertical="top"/>
    </xf>
    <xf numFmtId="0" fontId="8" fillId="29" borderId="0" xfId="33" applyFont="1" applyFill="1">
      <alignment vertical="top"/>
    </xf>
    <xf numFmtId="0" fontId="9" fillId="0" borderId="3" xfId="34" applyFont="1" applyBorder="1">
      <alignment vertical="top"/>
    </xf>
    <xf numFmtId="0" fontId="10" fillId="0" borderId="4" xfId="35" applyFont="1" applyBorder="1">
      <alignment vertical="top"/>
    </xf>
    <xf numFmtId="0" fontId="11" fillId="0" borderId="5" xfId="36" applyFont="1" applyBorder="1">
      <alignment vertical="top"/>
    </xf>
    <xf numFmtId="0" fontId="11" fillId="0" borderId="0" xfId="37" applyFont="1">
      <alignment vertical="top"/>
    </xf>
    <xf numFmtId="0" fontId="12" fillId="30" borderId="1" xfId="38" applyFont="1" applyFill="1" applyBorder="1">
      <alignment vertical="top"/>
    </xf>
    <xf numFmtId="0" fontId="13" fillId="0" borderId="6" xfId="39" applyFont="1" applyBorder="1">
      <alignment vertical="top"/>
    </xf>
    <xf numFmtId="0" fontId="14" fillId="31" borderId="0" xfId="40" applyFont="1" applyFill="1">
      <alignment vertical="top"/>
    </xf>
    <xf numFmtId="0" fontId="15" fillId="0" borderId="0" xfId="41" applyFont="1">
      <alignment vertical="top"/>
    </xf>
    <xf numFmtId="0" fontId="6" fillId="32" borderId="7" xfId="42" applyFont="0" applyFill="1" applyBorder="1">
      <alignment vertical="top"/>
    </xf>
    <xf numFmtId="0" fontId="16" fillId="27" borderId="8" xfId="43" applyFont="1" applyFill="1" applyBorder="1">
      <alignment vertical="top"/>
    </xf>
    <xf numFmtId="9" fontId="6" fillId="0" borderId="0" xfId="44" applyFont="0" applyNumberFormat="1">
      <alignment vertical="top"/>
    </xf>
    <xf numFmtId="0" fontId="17" fillId="0" borderId="0" xfId="45" applyFont="1">
      <alignment vertical="top"/>
    </xf>
    <xf numFmtId="0" fontId="18" fillId="0" borderId="9" xfId="46" applyFont="1" applyBorder="1">
      <alignment vertical="top"/>
    </xf>
    <xf numFmtId="0" fontId="19" fillId="0" borderId="0" xfId="47" applyFont="1">
      <alignment vertical="top"/>
    </xf>
    <xf numFmtId="0" fontId="20" fillId="0" borderId="0" xfId="48" applyFont="1"/>
    <xf numFmtId="197" fontId="20" fillId="0" borderId="0" xfId="49" applyFont="1" applyNumberFormat="1"/>
    <xf numFmtId="38" fontId="21" fillId="0" borderId="0" xfId="50" applyFont="1" applyNumberFormat="1">
      <alignment vertical="top"/>
    </xf>
    <xf numFmtId="198" fontId="22" fillId="33" borderId="0" xfId="51" applyFont="1" applyFill="1" applyNumberFormat="1">
      <protection locked="0"/>
    </xf>
    <xf numFmtId="0" fontId="23" fillId="0" borderId="0" xfId="52" applyFont="1">
      <alignment vertical="center"/>
    </xf>
    <xf numFmtId="199" fontId="22" fillId="33" borderId="0" xfId="53" applyFont="1" applyFill="1" applyNumberFormat="1">
      <protection locked="0"/>
    </xf>
    <xf numFmtId="200" fontId="22" fillId="33" borderId="0" xfId="54" applyFont="1" applyFill="1" applyNumberFormat="1">
      <protection locked="0"/>
    </xf>
    <xf numFmtId="0" fontId="24" fillId="0" borderId="0" xfId="55" applyFont="1">
      <alignment vertical="top"/>
    </xf>
    <xf numFmtId="0" fontId="25" fillId="0" borderId="0" xfId="56" applyFont="1">
      <alignment vertical="top"/>
    </xf>
    <xf numFmtId="0" fontId="26" fillId="0" borderId="0" xfId="57" applyFont="1"/>
    <xf numFmtId="0" fontId="27" fillId="0" borderId="0" xfId="58" applyFont="1">
      <alignment vertical="top"/>
    </xf>
    <xf numFmtId="49" fontId="22" fillId="0" borderId="0" xfId="59" applyFont="1" applyNumberFormat="1">
      <alignment vertical="top"/>
    </xf>
    <xf numFmtId="0" fontId="28" fillId="0" borderId="0" xfId="60" applyFont="1"/>
    <xf numFmtId="49" fontId="0" fillId="0" borderId="0" xfId="61" applyFont="1" applyNumberFormat="1">
      <alignment vertical="top"/>
    </xf>
    <xf numFmtId="0" fontId="29" fillId="0" borderId="0" xfId="62" applyFont="1"/>
    <xf numFmtId="0" fontId="30" fillId="0" borderId="0" xfId="63" applyFont="1">
      <alignment vertical="top"/>
    </xf>
    <xf numFmtId="49" fontId="0" fillId="0" borderId="0" xfId="61" applyFont="1" applyNumberFormat="1">
      <alignment vertical="top"/>
    </xf>
    <xf numFmtId="0" fontId="22" fillId="0" borderId="0" xfId="0" applyFont="1">
      <alignment vertical="top" wrapText="1"/>
    </xf>
    <xf numFmtId="49" fontId="0" fillId="0" borderId="0" xfId="0" applyFont="1" applyNumberFormat="1">
      <alignment vertical="top"/>
    </xf>
    <xf numFmtId="49" fontId="22" fillId="34" borderId="10" xfId="0" applyFont="1" applyFill="1" applyBorder="1" applyNumberFormat="1">
      <alignment horizontal="center" vertical="top"/>
    </xf>
    <xf numFmtId="49" fontId="0" fillId="0" borderId="0" xfId="0" applyFont="1" applyNumberFormat="1">
      <alignment vertical="top"/>
    </xf>
    <xf numFmtId="0" fontId="22" fillId="0" borderId="0" xfId="0" applyFont="1"/>
    <xf numFmtId="0" fontId="22" fillId="35" borderId="0" xfId="0" applyFont="1" applyFill="1"/>
    <xf numFmtId="0" fontId="31" fillId="0" borderId="0" xfId="0" applyFont="1">
      <alignment vertical="center" wrapText="1"/>
    </xf>
    <xf numFmtId="0" fontId="32" fillId="0" borderId="0" xfId="0" applyFont="1">
      <alignment vertical="center" wrapText="1"/>
    </xf>
    <xf numFmtId="0" fontId="22" fillId="35" borderId="0" xfId="0" applyFont="1" applyFill="1">
      <alignment vertical="center" wrapText="1"/>
    </xf>
    <xf numFmtId="0" fontId="22" fillId="0" borderId="0" xfId="0" applyFont="1">
      <alignment vertical="center" wrapText="1"/>
    </xf>
    <xf numFmtId="0" fontId="33" fillId="35" borderId="0" xfId="0" applyFont="1" applyFill="1">
      <alignment vertical="center" wrapText="1"/>
    </xf>
    <xf numFmtId="0" fontId="22" fillId="35" borderId="0" xfId="0" applyFont="1" applyFill="1">
      <alignment horizontal="right" vertical="center" wrapText="1" indent="1"/>
    </xf>
    <xf numFmtId="0" fontId="22" fillId="35" borderId="0" xfId="0" applyFont="1" applyFill="1">
      <alignment horizontal="center" vertical="center" wrapText="1"/>
    </xf>
    <xf numFmtId="0" fontId="32" fillId="0" borderId="0" xfId="0" applyFont="1">
      <alignment horizontal="center" vertical="center" wrapText="1"/>
    </xf>
    <xf numFmtId="0" fontId="34" fillId="35" borderId="0" xfId="0" applyFont="1" applyFill="1">
      <alignment horizontal="center" vertical="center" wrapText="1"/>
    </xf>
    <xf numFmtId="0" fontId="22" fillId="0" borderId="0" xfId="0" applyFont="1">
      <alignment vertical="center"/>
    </xf>
    <xf numFmtId="49" fontId="22" fillId="35" borderId="0" xfId="0" applyFont="1" applyFill="1" applyNumberFormat="1">
      <alignment horizontal="right" vertical="center" wrapText="1" indent="1"/>
    </xf>
    <xf numFmtId="49" fontId="33" fillId="35" borderId="0" xfId="0" applyFont="1" applyFill="1" applyNumberFormat="1">
      <alignment horizontal="center" vertical="center" wrapText="1"/>
    </xf>
    <xf numFmtId="0" fontId="22" fillId="0" borderId="0" xfId="0" applyFont="1">
      <alignment vertical="center" wrapText="1"/>
    </xf>
    <xf numFmtId="0" fontId="22" fillId="35" borderId="0" xfId="0" applyFont="1" applyFill="1">
      <alignment vertical="center" wrapText="1"/>
    </xf>
    <xf numFmtId="0" fontId="22" fillId="35" borderId="0" xfId="0" applyFont="1" applyFill="1">
      <alignment horizontal="right" vertical="center" wrapText="1"/>
    </xf>
    <xf numFmtId="49" fontId="0" fillId="35" borderId="0" xfId="0" applyFont="1" applyFill="1" applyNumberFormat="1">
      <alignment horizontal="right" vertical="center" wrapText="1" indent="1"/>
    </xf>
    <xf numFmtId="49" fontId="35" fillId="35" borderId="0" xfId="0" applyFont="1" applyFill="1" applyNumberFormat="1">
      <alignment horizontal="center" vertical="center" wrapText="1"/>
    </xf>
    <xf numFmtId="49" fontId="0" fillId="0" borderId="0" xfId="0" applyFont="1" applyNumberFormat="1">
      <alignment vertical="top"/>
    </xf>
    <xf numFmtId="49" fontId="0" fillId="0" borderId="0" xfId="0" applyFont="1" applyNumberFormat="1">
      <alignment vertical="top"/>
    </xf>
    <xf numFmtId="0" fontId="36" fillId="35" borderId="0" xfId="0" applyFont="1" applyFill="1">
      <alignment horizontal="center" vertical="center" wrapText="1"/>
    </xf>
    <xf numFmtId="0" fontId="36" fillId="0" borderId="0" xfId="0" applyFont="1">
      <alignment horizontal="center" vertical="center"/>
    </xf>
    <xf numFmtId="0" fontId="36" fillId="35" borderId="0" xfId="0" applyFont="1" applyFill="1">
      <alignment horizontal="center" vertical="center"/>
    </xf>
    <xf numFmtId="49" fontId="37" fillId="0" borderId="11" xfId="0" applyFont="1" applyBorder="1" applyNumberFormat="1">
      <alignment vertical="top" wrapText="1"/>
    </xf>
    <xf numFmtId="0" fontId="0" fillId="0" borderId="11" xfId="0" applyFont="1" applyBorder="1">
      <alignment vertical="top" wrapText="1"/>
    </xf>
    <xf numFmtId="0" fontId="22" fillId="35" borderId="0" xfId="0" applyFont="1" applyFill="1">
      <alignment horizontal="center" vertical="center" wrapText="1"/>
    </xf>
    <xf numFmtId="0" fontId="38" fillId="35" borderId="0" xfId="0" applyFont="1" applyFill="1">
      <alignment vertical="center" wrapText="1"/>
    </xf>
    <xf numFmtId="0" fontId="38" fillId="0" borderId="0" xfId="0" applyFont="1">
      <alignment vertical="center" wrapText="1"/>
    </xf>
    <xf numFmtId="0" fontId="31" fillId="0" borderId="0" xfId="0" applyFont="1">
      <alignment horizontal="left" vertical="center" wrapText="1"/>
    </xf>
    <xf numFmtId="49" fontId="31" fillId="0" borderId="0" xfId="0" applyFont="1" applyNumberFormat="1">
      <alignment horizontal="left" vertical="center" wrapText="1"/>
    </xf>
    <xf numFmtId="0" fontId="0" fillId="0" borderId="0" xfId="0" applyFont="1">
      <alignment vertical="top"/>
    </xf>
    <xf numFmtId="49" fontId="22" fillId="0" borderId="0" xfId="0" applyFont="1" applyNumberFormat="1">
      <alignment vertical="center" wrapText="1"/>
    </xf>
    <xf numFmtId="49" fontId="22" fillId="0" borderId="0" xfId="0" applyFont="1" applyNumberFormat="1">
      <alignment vertical="top"/>
    </xf>
    <xf numFmtId="0" fontId="22" fillId="0" borderId="0" xfId="0" applyFont="1">
      <alignment vertical="center" wrapText="1"/>
    </xf>
    <xf numFmtId="0" fontId="0" fillId="0" borderId="0" xfId="0" applyFont="1">
      <alignment vertical="center"/>
    </xf>
    <xf numFmtId="0" fontId="22" fillId="35" borderId="12" xfId="0" applyFont="1" applyFill="1" applyBorder="1">
      <alignment horizontal="center" vertical="center" wrapText="1"/>
    </xf>
    <xf numFmtId="49" fontId="22" fillId="36" borderId="12" xfId="0" applyFont="1" applyFill="1" applyBorder="1" applyNumberFormat="1">
      <alignment horizontal="left" vertical="center" wrapText="1"/>
      <protection locked="0"/>
    </xf>
    <xf numFmtId="49" fontId="39" fillId="37" borderId="13" xfId="0" applyFont="1" applyFill="1" applyBorder="1" applyNumberFormat="1">
      <alignment horizontal="left" vertical="center"/>
    </xf>
    <xf numFmtId="0" fontId="0" fillId="0" borderId="12" xfId="0" applyFont="1" applyBorder="1">
      <alignment horizontal="center" vertical="center" wrapText="1"/>
    </xf>
    <xf numFmtId="0" fontId="22" fillId="37" borderId="14" xfId="0" applyFont="1" applyFill="1" applyBorder="1">
      <alignment vertical="center" wrapText="1"/>
    </xf>
    <xf numFmtId="0" fontId="22" fillId="0" borderId="12" xfId="0" applyFont="1" applyBorder="1">
      <alignment horizontal="center" vertical="center" wrapText="1"/>
    </xf>
    <xf numFmtId="0" fontId="40" fillId="0" borderId="0" xfId="0" applyFont="1">
      <alignment vertical="center"/>
    </xf>
    <xf numFmtId="49" fontId="22" fillId="0" borderId="12" xfId="0" applyFont="1" applyBorder="1" applyNumberFormat="1">
      <alignment horizontal="center" vertical="center" wrapText="1"/>
    </xf>
    <xf numFmtId="0" fontId="22" fillId="35" borderId="12" xfId="0" applyFont="1" applyFill="1" applyBorder="1">
      <alignment horizontal="center" vertical="center"/>
    </xf>
    <xf numFmtId="49" fontId="22" fillId="36" borderId="12" xfId="0" applyFont="1" applyFill="1" applyBorder="1" applyNumberFormat="1">
      <alignment horizontal="left" vertical="center" wrapText="1"/>
      <protection locked="0"/>
    </xf>
    <xf numFmtId="0" fontId="31" fillId="0" borderId="0" xfId="0" applyFont="1">
      <alignment vertical="center" wrapText="1"/>
    </xf>
    <xf numFmtId="0" fontId="41" fillId="0" borderId="0" xfId="0" applyFont="1">
      <alignment vertical="center" wrapText="1"/>
    </xf>
    <xf numFmtId="49" fontId="22" fillId="0" borderId="0" xfId="0" applyFont="1" applyNumberFormat="1">
      <alignment vertical="top"/>
    </xf>
    <xf numFmtId="49" fontId="31" fillId="0" borderId="0" xfId="0" applyFont="1" applyNumberFormat="1">
      <alignment vertical="top"/>
    </xf>
    <xf numFmtId="49" fontId="22" fillId="0" borderId="0" xfId="0" applyFont="1" applyNumberFormat="1">
      <alignment vertical="top"/>
    </xf>
    <xf numFmtId="49" fontId="36" fillId="0" borderId="0" xfId="0" applyFont="1" applyNumberFormat="1">
      <alignment horizontal="center" vertical="center"/>
    </xf>
    <xf numFmtId="49" fontId="22" fillId="0" borderId="0" xfId="0" applyFont="1" applyNumberFormat="1">
      <alignment vertical="top"/>
    </xf>
    <xf numFmtId="0" fontId="22" fillId="35" borderId="0" xfId="0" applyFont="1" applyFill="1"/>
    <xf numFmtId="0" fontId="42" fillId="35" borderId="0" xfId="0" applyFont="1" applyFill="1">
      <alignment horizontal="center" vertical="center" wrapText="1"/>
    </xf>
    <xf numFmtId="0" fontId="31" fillId="35" borderId="0" xfId="0" applyFont="1" applyFill="1"/>
    <xf numFmtId="49" fontId="22" fillId="0" borderId="0" xfId="0" applyFont="1" applyNumberFormat="1">
      <alignment vertical="top"/>
    </xf>
    <xf numFmtId="49" fontId="36" fillId="0" borderId="0" xfId="0" applyFont="1" applyNumberFormat="1">
      <alignment horizontal="center" vertical="center" wrapText="1"/>
    </xf>
    <xf numFmtId="0" fontId="22" fillId="35" borderId="12" xfId="0" applyFont="1" applyFill="1" applyBorder="1">
      <alignment horizontal="center" vertical="center" wrapText="1"/>
    </xf>
    <xf numFmtId="49" fontId="22" fillId="0" borderId="12" xfId="0" applyFont="1" applyBorder="1" applyNumberFormat="1">
      <alignment horizontal="center" vertical="center" wrapText="1"/>
    </xf>
    <xf numFmtId="49" fontId="43" fillId="37" borderId="15" xfId="0" applyFont="1" applyFill="1" applyBorder="1" applyNumberFormat="1">
      <alignment horizontal="center" vertical="top"/>
    </xf>
    <xf numFmtId="49" fontId="39" fillId="37" borderId="15" xfId="0" applyFont="1" applyFill="1" applyBorder="1" applyNumberFormat="1">
      <alignment horizontal="left" vertical="center"/>
    </xf>
    <xf numFmtId="49" fontId="22" fillId="0" borderId="0" xfId="0" applyFont="1" applyNumberFormat="1">
      <alignment horizontal="center" vertical="top"/>
    </xf>
    <xf numFmtId="0" fontId="40" fillId="0" borderId="0" xfId="0" applyFont="1">
      <alignment vertical="center"/>
    </xf>
    <xf numFmtId="0" fontId="0" fillId="0" borderId="0" xfId="0" applyFont="1">
      <alignment horizontal="center" vertical="center" wrapText="1"/>
    </xf>
    <xf numFmtId="49" fontId="22" fillId="0" borderId="0" xfId="0" applyFont="1" applyNumberFormat="1">
      <alignment horizontal="center" vertical="center" wrapText="1"/>
    </xf>
    <xf numFmtId="49" fontId="22" fillId="0" borderId="0" xfId="0" applyFont="1" applyNumberFormat="1">
      <alignment vertical="center" wrapText="1"/>
    </xf>
    <xf numFmtId="0" fontId="36" fillId="35" borderId="0" xfId="0" applyFont="1" applyFill="1">
      <alignment horizontal="center" vertical="center" wrapText="1"/>
    </xf>
    <xf numFmtId="49" fontId="44" fillId="0" borderId="0" xfId="0" applyFont="1" applyNumberFormat="1">
      <alignment horizontal="right" vertical="top"/>
    </xf>
    <xf numFmtId="49" fontId="44" fillId="0" borderId="0" xfId="0" applyFont="1" applyNumberFormat="1">
      <alignment vertical="top"/>
    </xf>
    <xf numFmtId="0" fontId="22" fillId="0" borderId="0" xfId="0" applyFont="1">
      <alignment horizontal="center" vertical="center" wrapText="1"/>
    </xf>
    <xf numFmtId="49" fontId="22" fillId="0" borderId="0" xfId="0" applyFont="1" applyNumberFormat="1">
      <alignment vertical="top"/>
    </xf>
    <xf numFmtId="0" fontId="0" fillId="0" borderId="0" xfId="0" applyFont="1">
      <alignment vertical="center"/>
    </xf>
    <xf numFmtId="0" fontId="45" fillId="0" borderId="0" xfId="0" applyFont="1">
      <alignment vertical="center" wrapText="1"/>
    </xf>
    <xf numFmtId="49" fontId="22" fillId="0" borderId="16" xfId="0" applyFont="1" applyBorder="1" applyNumberFormat="1">
      <alignment vertical="top"/>
    </xf>
    <xf numFmtId="0" fontId="29" fillId="0" borderId="0" xfId="0" applyFont="1"/>
    <xf numFmtId="49" fontId="46" fillId="0" borderId="0" xfId="0" applyFont="1" applyNumberFormat="1">
      <alignment vertical="top"/>
    </xf>
    <xf numFmtId="0" fontId="46" fillId="0" borderId="0" xfId="0" applyFont="1">
      <alignment vertical="center" wrapText="1"/>
    </xf>
    <xf numFmtId="49" fontId="0" fillId="35" borderId="12" xfId="0" applyFont="1" applyFill="1" applyBorder="1" applyNumberFormat="1">
      <alignment horizontal="center" vertical="center" wrapText="1"/>
    </xf>
    <xf numFmtId="0" fontId="31" fillId="0" borderId="0" xfId="0" applyFont="1">
      <alignment horizontal="left" vertical="center" wrapText="1"/>
    </xf>
    <xf numFmtId="49" fontId="22" fillId="0" borderId="12" xfId="0" applyFont="1" applyBorder="1" applyNumberFormat="1">
      <alignment horizontal="left" vertical="center" wrapText="1"/>
    </xf>
    <xf numFmtId="0" fontId="22" fillId="35" borderId="17" xfId="0" applyFont="1" applyFill="1" applyBorder="1">
      <alignment horizontal="center" vertical="center"/>
    </xf>
    <xf numFmtId="0" fontId="22" fillId="0" borderId="12" xfId="0" applyFont="1" applyBorder="1">
      <alignment vertical="center" wrapText="1"/>
    </xf>
    <xf numFmtId="0" fontId="47" fillId="0" borderId="0" xfId="0" applyFont="1">
      <alignment vertical="center" wrapText="1"/>
    </xf>
    <xf numFmtId="0" fontId="47" fillId="0" borderId="0" xfId="0" applyFont="1">
      <alignment vertical="center"/>
    </xf>
    <xf numFmtId="0" fontId="48" fillId="0" borderId="0" xfId="0" applyFont="1">
      <alignment vertical="center"/>
    </xf>
    <xf numFmtId="0" fontId="47" fillId="0" borderId="0" xfId="0" applyFont="1">
      <alignment vertical="center"/>
    </xf>
    <xf numFmtId="0" fontId="47" fillId="0" borderId="0" xfId="0" applyFont="1">
      <alignment vertical="center"/>
    </xf>
    <xf numFmtId="0" fontId="0" fillId="0" borderId="0" xfId="0" applyFont="1">
      <alignment vertical="top" wrapText="1"/>
    </xf>
    <xf numFmtId="49" fontId="22" fillId="0" borderId="12" xfId="0" applyFont="1" applyBorder="1" applyNumberFormat="1">
      <alignment horizontal="center" vertical="center" wrapText="1"/>
    </xf>
    <xf numFmtId="0" fontId="45" fillId="0" borderId="18" xfId="0" applyFont="1" applyBorder="1">
      <alignment vertical="top" wrapText="1"/>
    </xf>
    <xf numFmtId="49" fontId="0" fillId="0" borderId="12" xfId="0" applyFont="1" applyBorder="1" applyNumberFormat="1">
      <alignment vertical="top" wrapText="1"/>
    </xf>
    <xf numFmtId="0" fontId="0" fillId="0" borderId="12" xfId="0" applyFont="1" applyBorder="1">
      <alignment vertical="top" wrapText="1"/>
    </xf>
    <xf numFmtId="0" fontId="1" fillId="0" borderId="0" xfId="0" applyFont="1"/>
    <xf numFmtId="0" fontId="0" fillId="0" borderId="0" xfId="0" applyFont="1"/>
    <xf numFmtId="0" fontId="36" fillId="0" borderId="0" xfId="0" applyFont="1">
      <alignment horizontal="center" vertical="center" wrapText="1"/>
    </xf>
    <xf numFmtId="0" fontId="36" fillId="0" borderId="0" xfId="0" applyFont="1">
      <alignment horizontal="center" vertical="center" wrapText="1"/>
    </xf>
    <xf numFmtId="0" fontId="22" fillId="0" borderId="0" xfId="0" applyFont="1">
      <alignment horizontal="right" vertical="center" wrapText="1"/>
    </xf>
    <xf numFmtId="4" fontId="22" fillId="0" borderId="0" xfId="0" applyFont="1" applyNumberFormat="1">
      <alignment horizontal="right" vertical="center" wrapText="1"/>
    </xf>
    <xf numFmtId="0" fontId="22" fillId="0" borderId="0" xfId="0" applyFont="1">
      <alignment horizontal="left" vertical="center" wrapText="1" indent="1"/>
    </xf>
    <xf numFmtId="49" fontId="22" fillId="0" borderId="0" xfId="0" applyFont="1" applyNumberFormat="1">
      <alignment vertical="top"/>
    </xf>
    <xf numFmtId="4" fontId="22" fillId="0" borderId="0" xfId="0" applyFont="1" applyNumberFormat="1">
      <alignment horizontal="center" vertical="center" wrapText="1"/>
    </xf>
    <xf numFmtId="0" fontId="46" fillId="0" borderId="0" xfId="0" applyFont="1">
      <alignment vertical="center"/>
    </xf>
    <xf numFmtId="202" fontId="22" fillId="0" borderId="12" xfId="0" applyFont="1" applyBorder="1" applyNumberFormat="1">
      <alignment horizontal="center" vertical="center" wrapText="1"/>
    </xf>
    <xf numFmtId="49" fontId="46" fillId="37" borderId="19" xfId="0" applyFont="1" applyFill="1" applyBorder="1" applyNumberFormat="1">
      <alignment horizontal="left" vertical="center" wrapText="1"/>
    </xf>
    <xf numFmtId="49" fontId="0" fillId="37" borderId="15" xfId="0" applyFont="1" applyFill="1" applyBorder="1" applyNumberFormat="1">
      <alignment horizontal="left" vertical="center"/>
    </xf>
    <xf numFmtId="49" fontId="46" fillId="37" borderId="20" xfId="0" applyFont="1" applyFill="1" applyBorder="1" applyNumberFormat="1">
      <alignment horizontal="left" vertical="center" wrapText="1"/>
    </xf>
    <xf numFmtId="0" fontId="35" fillId="0" borderId="0" xfId="0" applyFont="1">
      <alignment horizontal="center" vertical="center" wrapText="1"/>
    </xf>
    <xf numFmtId="49" fontId="49" fillId="37" borderId="15" xfId="0" applyFont="1" applyFill="1" applyBorder="1" applyNumberFormat="1">
      <alignment horizontal="right" vertical="center" wrapText="1"/>
    </xf>
    <xf numFmtId="49" fontId="22" fillId="37" borderId="15" xfId="0" applyFont="1" applyFill="1" applyBorder="1" applyNumberFormat="1">
      <alignment horizontal="right" vertical="center" wrapText="1"/>
    </xf>
    <xf numFmtId="49" fontId="22" fillId="37" borderId="13" xfId="0" applyFont="1" applyFill="1" applyBorder="1" applyNumberFormat="1">
      <alignment horizontal="right" vertical="center" wrapText="1"/>
    </xf>
    <xf numFmtId="0" fontId="22" fillId="0" borderId="21" xfId="0" applyFont="1" applyBorder="1">
      <alignment vertical="center" wrapText="1"/>
    </xf>
    <xf numFmtId="0" fontId="44" fillId="0" borderId="0" xfId="0" applyFont="1">
      <alignment vertical="center" wrapText="1"/>
    </xf>
    <xf numFmtId="0" fontId="50" fillId="0" borderId="0" xfId="0" applyFont="1">
      <alignment horizontal="center" vertical="center" wrapText="1"/>
    </xf>
    <xf numFmtId="49" fontId="0" fillId="35" borderId="0" xfId="0" applyFont="1" applyFill="1" applyNumberFormat="1">
      <alignment vertical="top"/>
    </xf>
    <xf numFmtId="49" fontId="51" fillId="38" borderId="0" xfId="0" applyFont="1" applyFill="1" applyNumberFormat="1">
      <alignment vertical="top"/>
    </xf>
    <xf numFmtId="49" fontId="51" fillId="0" borderId="0" xfId="0" applyFont="1" applyNumberFormat="1">
      <alignment vertical="top"/>
    </xf>
    <xf numFmtId="0" fontId="46" fillId="0" borderId="0" xfId="0" applyFont="1">
      <alignment vertical="center"/>
    </xf>
    <xf numFmtId="49" fontId="0" fillId="37" borderId="15" xfId="0" applyFont="1" applyFill="1" applyBorder="1" applyNumberFormat="1">
      <alignment horizontal="right" vertical="center" wrapText="1"/>
    </xf>
    <xf numFmtId="49" fontId="0" fillId="0" borderId="0" xfId="0" applyFont="1" applyNumberFormat="1">
      <alignment vertical="top"/>
    </xf>
    <xf numFmtId="0" fontId="49" fillId="0" borderId="11" xfId="0" applyFont="1" applyBorder="1">
      <alignment vertical="center" wrapText="1"/>
    </xf>
    <xf numFmtId="0" fontId="45" fillId="0" borderId="0" xfId="0" applyFont="1">
      <alignment vertical="top" wrapText="1"/>
    </xf>
    <xf numFmtId="0" fontId="22" fillId="0" borderId="11" xfId="0" applyFont="1" applyBorder="1">
      <alignment vertical="center" wrapText="1"/>
    </xf>
    <xf numFmtId="49" fontId="22" fillId="0" borderId="0" xfId="0" applyFont="1" applyNumberFormat="1">
      <alignment vertical="top"/>
    </xf>
    <xf numFmtId="0" fontId="22" fillId="35" borderId="0" xfId="0" applyFont="1" applyFill="1">
      <alignment horizontal="right" vertical="center"/>
    </xf>
    <xf numFmtId="0" fontId="0" fillId="0" borderId="12" xfId="0" applyFont="1" applyBorder="1">
      <alignment horizontal="left" vertical="center" wrapText="1" indent="1"/>
    </xf>
    <xf numFmtId="0" fontId="0" fillId="39" borderId="12" xfId="0" applyFont="1" applyFill="1" applyBorder="1">
      <alignment horizontal="left" vertical="center" wrapText="1" indent="2"/>
      <protection locked="0"/>
    </xf>
    <xf numFmtId="49" fontId="47" fillId="0" borderId="0" xfId="0" applyFont="1" applyNumberFormat="1">
      <alignment vertical="top"/>
    </xf>
    <xf numFmtId="0" fontId="0" fillId="0" borderId="12" xfId="0" applyFont="1" applyBorder="1">
      <alignment vertical="center" wrapText="1"/>
    </xf>
    <xf numFmtId="0" fontId="0" fillId="0" borderId="12" xfId="0" applyFont="1" applyBorder="1">
      <alignment horizontal="center" vertical="center" wrapText="1"/>
    </xf>
    <xf numFmtId="0" fontId="0" fillId="39" borderId="12" xfId="0" applyFont="1" applyFill="1" applyBorder="1">
      <alignment horizontal="left" vertical="center" wrapText="1" indent="1"/>
      <protection locked="0"/>
    </xf>
    <xf numFmtId="49" fontId="39" fillId="37" borderId="15" xfId="0" applyFont="1" applyFill="1" applyBorder="1" applyNumberFormat="1">
      <alignment horizontal="left" vertical="center" indent="3"/>
    </xf>
    <xf numFmtId="49" fontId="43" fillId="37" borderId="13" xfId="0" applyFont="1" applyFill="1" applyBorder="1" applyNumberFormat="1">
      <alignment horizontal="center" vertical="top"/>
    </xf>
    <xf numFmtId="0" fontId="45" fillId="0" borderId="0" xfId="0" applyFont="1">
      <alignment horizontal="right" vertical="top" wrapText="1"/>
    </xf>
    <xf numFmtId="49" fontId="39" fillId="37" borderId="15" xfId="0" applyFont="1" applyFill="1" applyBorder="1" applyNumberFormat="1">
      <alignment horizontal="left" vertical="center" indent="1"/>
    </xf>
    <xf numFmtId="49" fontId="39" fillId="37" borderId="15" xfId="0" applyFont="1" applyFill="1" applyBorder="1" applyNumberFormat="1">
      <alignment horizontal="left" vertical="center" indent="2"/>
    </xf>
    <xf numFmtId="0" fontId="0" fillId="0" borderId="12" xfId="0" applyFont="1" applyBorder="1">
      <alignment horizontal="left" vertical="center" wrapText="1" indent="1"/>
    </xf>
    <xf numFmtId="0" fontId="0" fillId="0" borderId="12" xfId="0" applyFont="1" applyBorder="1">
      <alignment horizontal="left" vertical="center" wrapText="1" indent="2"/>
    </xf>
    <xf numFmtId="49" fontId="22" fillId="40" borderId="12" xfId="0" applyFont="1" applyFill="1" applyBorder="1" applyNumberFormat="1">
      <alignment horizontal="left" vertical="center" wrapText="1"/>
    </xf>
    <xf numFmtId="0" fontId="22" fillId="0" borderId="12" xfId="0" applyFont="1" applyBorder="1">
      <alignment vertical="top" wrapText="1"/>
    </xf>
    <xf numFmtId="0" fontId="36" fillId="0" borderId="0" xfId="0" applyFont="1">
      <alignment horizontal="center" vertical="center" wrapText="1"/>
    </xf>
    <xf numFmtId="49" fontId="0" fillId="0" borderId="17" xfId="0" applyFont="1" applyBorder="1" applyNumberFormat="1">
      <alignment vertical="top"/>
    </xf>
    <xf numFmtId="0" fontId="47" fillId="0" borderId="0" xfId="0" applyFont="1">
      <alignment vertical="center"/>
    </xf>
    <xf numFmtId="0" fontId="52" fillId="0" borderId="0" xfId="0" applyFont="1">
      <alignment vertical="center"/>
    </xf>
    <xf numFmtId="49" fontId="53" fillId="39" borderId="12" xfId="0" applyFont="1" applyFill="1" applyBorder="1" applyNumberFormat="1">
      <alignment horizontal="left" vertical="center" wrapText="1"/>
      <protection locked="0"/>
    </xf>
    <xf numFmtId="49" fontId="43" fillId="37" borderId="13" xfId="0" applyFont="1" applyFill="1" applyBorder="1" applyNumberFormat="1">
      <alignment horizontal="center" vertical="top"/>
    </xf>
    <xf numFmtId="0" fontId="0" fillId="34" borderId="12" xfId="0" applyFont="1" applyFill="1" applyBorder="1">
      <alignment horizontal="left" vertical="center" wrapText="1" indent="1"/>
    </xf>
    <xf numFmtId="49" fontId="22" fillId="39" borderId="12" xfId="0" applyFont="1" applyFill="1" applyBorder="1" applyNumberFormat="1">
      <alignment horizontal="left" vertical="center" wrapText="1" indent="1"/>
      <protection locked="0"/>
    </xf>
    <xf numFmtId="49" fontId="22" fillId="34" borderId="12" xfId="0" applyFont="1" applyFill="1" applyBorder="1" applyNumberFormat="1">
      <alignment horizontal="left" vertical="center" wrapText="1" indent="1"/>
    </xf>
    <xf numFmtId="49" fontId="22" fillId="0" borderId="12" xfId="0" applyFont="1" applyBorder="1" applyNumberFormat="1">
      <alignment horizontal="left" vertical="center" wrapText="1" indent="1"/>
    </xf>
    <xf numFmtId="0" fontId="22" fillId="0" borderId="12" xfId="0" applyFont="1" applyBorder="1">
      <alignment horizontal="center" vertical="center" wrapText="1"/>
    </xf>
    <xf numFmtId="0" fontId="45" fillId="0" borderId="0" xfId="0" applyFont="1">
      <alignment vertical="center" wrapText="1"/>
    </xf>
    <xf numFmtId="0" fontId="47" fillId="0" borderId="0" xfId="0" applyFont="1">
      <alignment horizontal="center" vertical="center" wrapText="1"/>
    </xf>
    <xf numFmtId="0" fontId="0" fillId="0" borderId="12" xfId="0" applyFont="1" applyBorder="1">
      <alignment horizontal="left" vertical="center" wrapText="1"/>
    </xf>
    <xf numFmtId="49" fontId="35" fillId="0" borderId="15" xfId="0" applyFont="1" applyBorder="1" applyNumberFormat="1">
      <alignment horizontal="center" vertical="center" wrapText="1"/>
    </xf>
    <xf numFmtId="0" fontId="54" fillId="0" borderId="0" xfId="0" applyFont="1">
      <alignment vertical="center"/>
    </xf>
    <xf numFmtId="0" fontId="55" fillId="0" borderId="0" xfId="0" applyFont="1">
      <alignment vertical="center"/>
    </xf>
    <xf numFmtId="0" fontId="47" fillId="0" borderId="0" xfId="0" applyFont="1">
      <alignment vertical="center"/>
    </xf>
    <xf numFmtId="0" fontId="47" fillId="0" borderId="0" xfId="0" applyFont="1">
      <alignment horizontal="left" vertical="center" wrapText="1" indent="1"/>
    </xf>
    <xf numFmtId="0" fontId="46" fillId="0" borderId="0" xfId="0" applyFont="1">
      <alignment horizontal="left" vertical="center" wrapText="1" indent="1"/>
    </xf>
    <xf numFmtId="0" fontId="56" fillId="0" borderId="0" xfId="0" applyFont="1">
      <alignment horizontal="left" vertical="center" wrapText="1" indent="1"/>
    </xf>
    <xf numFmtId="0" fontId="57" fillId="0" borderId="0" xfId="0" applyFont="1">
      <alignment horizontal="left" vertical="center" indent="1"/>
    </xf>
    <xf numFmtId="0" fontId="56" fillId="0" borderId="0" xfId="0" applyFont="1">
      <alignment vertical="center" wrapText="1"/>
    </xf>
    <xf numFmtId="0" fontId="58" fillId="0" borderId="0" xfId="0" applyFont="1">
      <alignment horizontal="left" vertical="center" wrapText="1"/>
    </xf>
    <xf numFmtId="0" fontId="59" fillId="0" borderId="0" xfId="0" applyFont="1">
      <alignment vertical="center" wrapText="1"/>
    </xf>
    <xf numFmtId="0" fontId="60" fillId="35" borderId="0" xfId="0" applyFont="1" applyFill="1">
      <alignment vertical="center" wrapText="1"/>
    </xf>
    <xf numFmtId="0" fontId="61" fillId="35" borderId="0" xfId="0" applyFont="1" applyFill="1">
      <alignment horizontal="right" vertical="center" wrapText="1" indent="1"/>
    </xf>
    <xf numFmtId="0" fontId="60" fillId="0" borderId="0" xfId="0" applyFont="1">
      <alignment vertical="center" wrapText="1"/>
    </xf>
    <xf numFmtId="0" fontId="60" fillId="35" borderId="0" xfId="0" applyFont="1" applyFill="1">
      <alignment horizontal="right" vertical="center" wrapText="1" indent="1"/>
    </xf>
    <xf numFmtId="0" fontId="62" fillId="35" borderId="0" xfId="0" applyFont="1" applyFill="1">
      <alignment horizontal="center" vertical="center" wrapText="1"/>
    </xf>
    <xf numFmtId="0" fontId="58" fillId="35" borderId="0" xfId="0" applyFont="1" applyFill="1">
      <alignment horizontal="center" vertical="center" wrapText="1"/>
    </xf>
    <xf numFmtId="0" fontId="60" fillId="35" borderId="0" xfId="0" applyFont="1" applyFill="1">
      <alignment horizontal="left" vertical="center" wrapText="1" indent="1"/>
    </xf>
    <xf numFmtId="0" fontId="63" fillId="0" borderId="0" xfId="0" applyFont="1">
      <alignment horizontal="left" vertical="center" wrapText="1"/>
    </xf>
    <xf numFmtId="0" fontId="63" fillId="0" borderId="0" xfId="0" applyFont="1">
      <alignment vertical="center" wrapText="1"/>
    </xf>
    <xf numFmtId="0" fontId="60" fillId="0" borderId="0" xfId="0" applyFont="1">
      <alignment vertical="center" wrapText="1"/>
    </xf>
    <xf numFmtId="0" fontId="60" fillId="0" borderId="0" xfId="0" applyFont="1">
      <alignment horizontal="right" vertical="center"/>
    </xf>
    <xf numFmtId="49" fontId="22" fillId="0" borderId="0" xfId="0" applyFont="1" applyNumberFormat="1">
      <alignment vertical="center" wrapText="1"/>
    </xf>
    <xf numFmtId="0" fontId="0" fillId="0" borderId="0" xfId="0" applyFont="1">
      <alignment horizontal="left" vertical="center" indent="1"/>
    </xf>
    <xf numFmtId="0" fontId="47" fillId="0" borderId="0" xfId="0" applyFont="1">
      <alignment horizontal="left" vertical="center" indent="1"/>
    </xf>
    <xf numFmtId="0" fontId="47" fillId="0" borderId="0" xfId="0" applyFont="1">
      <alignment horizontal="left" vertical="center" indent="1"/>
    </xf>
    <xf numFmtId="0" fontId="47" fillId="0" borderId="22" xfId="0" applyFont="1" applyBorder="1">
      <alignment vertical="center"/>
    </xf>
    <xf numFmtId="0" fontId="22" fillId="0" borderId="12" xfId="0" applyFont="1" applyBorder="1">
      <alignment horizontal="center" vertical="center" wrapText="1"/>
    </xf>
    <xf numFmtId="0" fontId="0" fillId="0" borderId="12" xfId="0" applyFont="1" applyBorder="1">
      <alignment horizontal="center" vertical="center"/>
    </xf>
    <xf numFmtId="49" fontId="0" fillId="0" borderId="12" xfId="0" applyFont="1" applyBorder="1" applyNumberFormat="1">
      <alignment horizontal="center" vertical="center"/>
    </xf>
    <xf numFmtId="49" fontId="0" fillId="0" borderId="12" xfId="0" applyFont="1" applyBorder="1" applyNumberFormat="1">
      <alignment horizontal="left" vertical="center"/>
    </xf>
    <xf numFmtId="49" fontId="22" fillId="0" borderId="0" xfId="0" applyFont="1" applyNumberFormat="1">
      <alignment vertical="top"/>
    </xf>
    <xf numFmtId="0" fontId="22" fillId="0" borderId="0" xfId="0" applyFont="1">
      <alignment horizontal="left" vertical="center" wrapText="1" indent="2"/>
    </xf>
    <xf numFmtId="0" fontId="22" fillId="0" borderId="12" xfId="0" applyFont="1" applyBorder="1">
      <alignment vertical="top" wrapText="1"/>
    </xf>
    <xf numFmtId="0" fontId="0" fillId="39" borderId="12" xfId="0" applyFont="1" applyFill="1" applyBorder="1">
      <alignment horizontal="left" vertical="center" wrapText="1"/>
      <protection locked="0"/>
    </xf>
    <xf numFmtId="0" fontId="22" fillId="0" borderId="12" xfId="0" applyFont="1" applyBorder="1">
      <alignment horizontal="left" vertical="top" wrapText="1"/>
    </xf>
    <xf numFmtId="0" fontId="22" fillId="0" borderId="12" xfId="0" applyFont="1" applyBorder="1">
      <alignment horizontal="left" vertical="center" wrapText="1"/>
    </xf>
    <xf numFmtId="0" fontId="22" fillId="0" borderId="12" xfId="0" applyFont="1" applyBorder="1">
      <alignment horizontal="center" vertical="center" wrapText="1"/>
    </xf>
    <xf numFmtId="49" fontId="22" fillId="0" borderId="17" xfId="0" applyFont="1" applyBorder="1" applyNumberFormat="1">
      <alignment horizontal="left" vertical="center" wrapText="1"/>
    </xf>
    <xf numFmtId="49" fontId="49" fillId="37" borderId="14" xfId="0" applyFont="1" applyFill="1" applyBorder="1" applyNumberFormat="1">
      <alignment horizontal="center" vertical="center"/>
    </xf>
    <xf numFmtId="49" fontId="39" fillId="37" borderId="13" xfId="0" applyFont="1" applyFill="1" applyBorder="1" applyNumberFormat="1">
      <alignment horizontal="left" vertical="center"/>
    </xf>
    <xf numFmtId="0" fontId="22" fillId="0" borderId="0" xfId="0" applyFont="1"/>
    <xf numFmtId="0" fontId="64" fillId="0" borderId="0" xfId="0" applyFont="1">
      <alignment vertical="center" wrapText="1"/>
    </xf>
    <xf numFmtId="0" fontId="64" fillId="0" borderId="0" xfId="0" applyFont="1">
      <alignment vertical="center" wrapText="1"/>
    </xf>
    <xf numFmtId="0" fontId="64" fillId="0" borderId="0" xfId="0" applyFont="1"/>
    <xf numFmtId="49" fontId="65" fillId="0" borderId="0" xfId="0" applyFont="1" applyNumberFormat="1">
      <alignment vertical="top"/>
    </xf>
    <xf numFmtId="49" fontId="66" fillId="0" borderId="0" xfId="0" applyFont="1" applyNumberFormat="1">
      <alignment vertical="top"/>
    </xf>
    <xf numFmtId="0" fontId="22" fillId="0" borderId="0" xfId="0" applyFont="1">
      <alignment horizontal="center" vertical="center" wrapText="1"/>
    </xf>
    <xf numFmtId="49" fontId="22" fillId="39" borderId="12" xfId="0" applyFont="1" applyFill="1" applyBorder="1" applyNumberFormat="1">
      <alignment horizontal="left" vertical="center" wrapText="1" indent="1"/>
      <protection locked="0"/>
    </xf>
    <xf numFmtId="0" fontId="47" fillId="0" borderId="0" xfId="0" applyFont="1">
      <alignment vertical="top"/>
    </xf>
    <xf numFmtId="49" fontId="47" fillId="0" borderId="0" xfId="0" applyFont="1" applyNumberFormat="1">
      <alignment vertical="top"/>
    </xf>
    <xf numFmtId="0" fontId="0" fillId="0" borderId="0" xfId="0" applyFont="1">
      <alignment vertical="top"/>
    </xf>
    <xf numFmtId="49" fontId="22" fillId="0" borderId="12" xfId="0" applyFont="1" applyBorder="1" applyNumberFormat="1">
      <alignment horizontal="right" vertical="center"/>
    </xf>
    <xf numFmtId="0" fontId="67" fillId="0" borderId="0" xfId="0" applyFont="1">
      <alignment vertical="center"/>
    </xf>
    <xf numFmtId="0" fontId="47" fillId="0" borderId="0" xfId="0" applyFont="1">
      <alignment vertical="center"/>
    </xf>
    <xf numFmtId="0" fontId="47" fillId="0" borderId="0" xfId="0" applyFont="1">
      <alignment vertical="center" wrapText="1"/>
    </xf>
    <xf numFmtId="0" fontId="22" fillId="0" borderId="12" xfId="0" applyFont="1" applyBorder="1">
      <alignment horizontal="left" vertical="center" wrapText="1"/>
    </xf>
    <xf numFmtId="0" fontId="68" fillId="0" borderId="0" xfId="0" applyFont="1">
      <alignment vertical="center"/>
    </xf>
    <xf numFmtId="49" fontId="35" fillId="35" borderId="0" xfId="0" applyFont="1" applyFill="1" applyNumberFormat="1">
      <alignment horizontal="center" vertical="center" wrapText="1"/>
    </xf>
    <xf numFmtId="0" fontId="0" fillId="0" borderId="0" xfId="0" applyFont="1">
      <alignment vertical="center"/>
    </xf>
    <xf numFmtId="0" fontId="22" fillId="0" borderId="12" xfId="0" applyFont="1" applyBorder="1">
      <alignment horizontal="center" vertical="center" wrapText="1"/>
    </xf>
    <xf numFmtId="49" fontId="22" fillId="0" borderId="12" xfId="0" applyFont="1" applyBorder="1" applyNumberFormat="1">
      <alignment horizontal="center" vertical="center" wrapText="1"/>
    </xf>
    <xf numFmtId="0" fontId="22" fillId="35" borderId="12" xfId="0" applyFont="1" applyFill="1" applyBorder="1">
      <alignment horizontal="left" vertical="center" wrapText="1" indent="4"/>
    </xf>
    <xf numFmtId="0" fontId="22" fillId="35" borderId="12" xfId="0" applyFont="1" applyFill="1" applyBorder="1">
      <alignment horizontal="left" vertical="center" wrapText="1" indent="5"/>
    </xf>
    <xf numFmtId="49" fontId="39" fillId="37" borderId="15" xfId="0" applyFont="1" applyFill="1" applyBorder="1" applyNumberFormat="1">
      <alignment horizontal="left" vertical="center" indent="5"/>
    </xf>
    <xf numFmtId="49" fontId="39" fillId="37" borderId="15" xfId="0" applyFont="1" applyFill="1" applyBorder="1" applyNumberFormat="1">
      <alignment horizontal="left" vertical="center" indent="6"/>
    </xf>
    <xf numFmtId="0" fontId="22" fillId="0" borderId="12" xfId="0" applyFont="1" applyBorder="1">
      <alignment vertical="center" wrapText="1"/>
    </xf>
    <xf numFmtId="0" fontId="45" fillId="0" borderId="0" xfId="0" applyFont="1">
      <alignment vertical="center" wrapText="1"/>
    </xf>
    <xf numFmtId="0" fontId="69" fillId="35" borderId="0" xfId="0" applyFont="1" applyFill="1">
      <alignment vertical="center" wrapText="1"/>
    </xf>
    <xf numFmtId="49" fontId="22" fillId="0" borderId="12" xfId="0" applyFont="1" applyBorder="1" applyNumberFormat="1">
      <alignment horizontal="center" vertical="center" wrapText="1"/>
    </xf>
    <xf numFmtId="49" fontId="0" fillId="0" borderId="0" xfId="0" applyFont="1" applyNumberFormat="1">
      <alignment vertical="top"/>
    </xf>
    <xf numFmtId="49" fontId="39" fillId="37" borderId="14" xfId="0" applyFont="1" applyFill="1" applyBorder="1" applyNumberFormat="1">
      <alignment horizontal="left" vertical="center" indent="1"/>
    </xf>
    <xf numFmtId="0" fontId="0" fillId="35" borderId="12" xfId="0" applyFont="1" applyFill="1" applyBorder="1">
      <alignment horizontal="right" vertical="center" wrapText="1" indent="1"/>
    </xf>
    <xf numFmtId="49" fontId="0" fillId="0" borderId="12" xfId="0" applyFont="1" applyBorder="1" applyNumberFormat="1">
      <alignment horizontal="left" vertical="center"/>
    </xf>
    <xf numFmtId="0" fontId="22" fillId="0" borderId="12" xfId="0" applyFont="1" applyBorder="1">
      <alignment vertical="top" wrapText="1"/>
    </xf>
    <xf numFmtId="0" fontId="22" fillId="0" borderId="12" xfId="0" applyFont="1" applyBorder="1">
      <alignment vertical="center" wrapText="1"/>
    </xf>
    <xf numFmtId="0" fontId="67" fillId="0" borderId="0" xfId="0" applyFont="1">
      <alignment vertical="center"/>
    </xf>
    <xf numFmtId="0" fontId="22" fillId="0" borderId="12" xfId="0" applyFont="1" applyBorder="1">
      <alignment horizontal="left" vertical="center" wrapText="1" indent="6"/>
    </xf>
    <xf numFmtId="0" fontId="22" fillId="0" borderId="17" xfId="0" applyFont="1" applyBorder="1">
      <alignment vertical="center" wrapText="1"/>
    </xf>
    <xf numFmtId="0" fontId="22" fillId="0" borderId="23" xfId="0" applyFont="1" applyBorder="1">
      <alignment vertical="center" wrapText="1"/>
    </xf>
    <xf numFmtId="49" fontId="0" fillId="37" borderId="13" xfId="0" applyFont="1" applyFill="1" applyBorder="1" applyNumberFormat="1">
      <alignment horizontal="center" vertical="center" wrapText="1"/>
    </xf>
    <xf numFmtId="0" fontId="0" fillId="0" borderId="14" xfId="0" applyFont="1" applyBorder="1">
      <alignment vertical="center"/>
    </xf>
    <xf numFmtId="0" fontId="0" fillId="35" borderId="14" xfId="0" applyFont="1" applyFill="1" applyBorder="1">
      <alignment horizontal="right" vertical="center" wrapText="1" indent="1"/>
    </xf>
    <xf numFmtId="49" fontId="31" fillId="0" borderId="0" xfId="0" applyFont="1" applyNumberFormat="1">
      <alignment vertical="top"/>
    </xf>
    <xf numFmtId="0" fontId="38" fillId="35" borderId="0" xfId="0" applyFont="1" applyFill="1">
      <alignment vertical="center" wrapText="1"/>
    </xf>
    <xf numFmtId="0" fontId="22" fillId="35" borderId="12" xfId="0" applyFont="1" applyFill="1" applyBorder="1">
      <alignment horizontal="left" vertical="center" wrapText="1" indent="1"/>
    </xf>
    <xf numFmtId="0" fontId="22" fillId="35" borderId="12" xfId="0" applyFont="1" applyFill="1" applyBorder="1">
      <alignment horizontal="left" vertical="center" wrapText="1" indent="2"/>
    </xf>
    <xf numFmtId="0" fontId="22" fillId="35" borderId="12" xfId="0" applyFont="1" applyFill="1" applyBorder="1">
      <alignment horizontal="left" vertical="center" wrapText="1" indent="3"/>
    </xf>
    <xf numFmtId="0" fontId="22" fillId="0" borderId="12" xfId="0" applyFont="1" applyBorder="1">
      <alignment horizontal="left" vertical="center" wrapText="1" indent="4"/>
    </xf>
    <xf numFmtId="49" fontId="39" fillId="37" borderId="14" xfId="0" applyFont="1" applyFill="1" applyBorder="1" applyNumberFormat="1">
      <alignment vertical="center" wrapText="1"/>
    </xf>
    <xf numFmtId="49" fontId="39" fillId="37" borderId="15" xfId="0" applyFont="1" applyFill="1" applyBorder="1" applyNumberFormat="1">
      <alignment vertical="center"/>
    </xf>
    <xf numFmtId="49" fontId="39" fillId="37" borderId="15" xfId="0" applyFont="1" applyFill="1" applyBorder="1" applyNumberFormat="1">
      <alignment vertical="center" wrapText="1"/>
    </xf>
    <xf numFmtId="0" fontId="22" fillId="0" borderId="0" xfId="0" applyFont="1">
      <alignment vertical="top" wrapText="1"/>
    </xf>
    <xf numFmtId="49" fontId="39" fillId="37" borderId="14" xfId="0" applyFont="1" applyFill="1" applyBorder="1" applyNumberFormat="1">
      <alignment horizontal="left" vertical="center"/>
    </xf>
    <xf numFmtId="0" fontId="39" fillId="37" borderId="14" xfId="0" applyFont="1" applyFill="1" applyBorder="1">
      <alignment horizontal="left" vertical="center"/>
    </xf>
    <xf numFmtId="0" fontId="39" fillId="37" borderId="15" xfId="0" applyFont="1" applyFill="1" applyBorder="1">
      <alignment horizontal="left" vertical="center"/>
    </xf>
    <xf numFmtId="0" fontId="39" fillId="37" borderId="13" xfId="0" applyFont="1" applyFill="1" applyBorder="1">
      <alignment horizontal="left" vertical="center"/>
    </xf>
    <xf numFmtId="0" fontId="0" fillId="0" borderId="0" xfId="0" applyFont="1">
      <alignment vertical="center"/>
    </xf>
    <xf numFmtId="49" fontId="0" fillId="0" borderId="0" xfId="0" applyFont="1" applyNumberFormat="1">
      <alignment vertical="center"/>
    </xf>
    <xf numFmtId="0" fontId="49" fillId="35" borderId="0" xfId="0" applyFont="1" applyFill="1">
      <alignment horizontal="center" vertical="center" wrapText="1"/>
    </xf>
    <xf numFmtId="0" fontId="22" fillId="0" borderId="0" xfId="0" applyFont="1">
      <alignment vertical="center" wrapText="1"/>
    </xf>
    <xf numFmtId="49" fontId="22" fillId="37" borderId="13" xfId="0" applyFont="1" applyFill="1" applyBorder="1" applyNumberFormat="1">
      <alignment horizontal="center" vertical="center" wrapText="1"/>
    </xf>
    <xf numFmtId="4" fontId="22" fillId="0" borderId="12" xfId="0" applyFont="1" applyBorder="1" applyNumberFormat="1">
      <alignment horizontal="right" vertical="center" wrapText="1"/>
    </xf>
    <xf numFmtId="0" fontId="22" fillId="0" borderId="0" xfId="0" applyFont="1">
      <alignment vertical="center" wrapText="1"/>
    </xf>
    <xf numFmtId="0" fontId="22" fillId="0" borderId="0" xfId="0" applyFont="1">
      <alignment vertical="center" wrapText="1"/>
    </xf>
    <xf numFmtId="4" fontId="47" fillId="0" borderId="12" xfId="0" applyFont="1" applyBorder="1" applyNumberFormat="1">
      <alignment horizontal="center" vertical="center" wrapText="1"/>
    </xf>
    <xf numFmtId="0" fontId="0" fillId="0" borderId="0" xfId="0" applyFont="1">
      <alignment vertical="center"/>
    </xf>
    <xf numFmtId="0" fontId="0" fillId="0" borderId="12" xfId="0" applyFont="1" applyBorder="1">
      <alignment horizontal="left" vertical="center" wrapText="1" indent="1"/>
    </xf>
    <xf numFmtId="49" fontId="70" fillId="0" borderId="14" xfId="0" applyFont="1" applyBorder="1" applyNumberFormat="1">
      <alignment horizontal="left" vertical="center" wrapText="1"/>
    </xf>
    <xf numFmtId="0" fontId="67" fillId="0" borderId="12" xfId="0" applyFont="1" applyBorder="1">
      <alignment horizontal="left" vertical="center" wrapText="1" indent="2"/>
    </xf>
    <xf numFmtId="49" fontId="67" fillId="0" borderId="12" xfId="0" applyFont="1" applyBorder="1" applyNumberFormat="1">
      <alignment horizontal="center" vertical="center" wrapText="1"/>
    </xf>
    <xf numFmtId="0" fontId="71" fillId="0" borderId="0" xfId="0" applyFont="1">
      <alignment vertical="center" wrapText="1"/>
    </xf>
    <xf numFmtId="0" fontId="22" fillId="0" borderId="0" xfId="0" applyFont="1">
      <alignment vertical="top"/>
    </xf>
    <xf numFmtId="0" fontId="22" fillId="0" borderId="0" xfId="0" applyFont="1">
      <alignment horizontal="right" vertical="top" wrapText="1"/>
    </xf>
    <xf numFmtId="0" fontId="22" fillId="0" borderId="17" xfId="0" applyFont="1" applyBorder="1">
      <alignment vertical="center" wrapText="1"/>
    </xf>
    <xf numFmtId="49" fontId="43" fillId="37" borderId="15" xfId="0" applyFont="1" applyFill="1" applyBorder="1" applyNumberFormat="1">
      <alignment horizontal="center" vertical="top"/>
    </xf>
    <xf numFmtId="0" fontId="22" fillId="0" borderId="23" xfId="0" applyFont="1" applyBorder="1">
      <alignment vertical="top" wrapText="1"/>
    </xf>
    <xf numFmtId="0" fontId="0" fillId="0" borderId="0" xfId="0" applyFont="1">
      <alignment horizontal="left" vertical="top" wrapText="1"/>
    </xf>
    <xf numFmtId="0" fontId="22" fillId="0" borderId="17" xfId="0" applyFont="1" applyBorder="1">
      <alignment vertical="top" wrapText="1"/>
    </xf>
    <xf numFmtId="0" fontId="22" fillId="0" borderId="0" xfId="0" applyFont="1">
      <alignment vertical="center" wrapText="1"/>
    </xf>
    <xf numFmtId="49" fontId="22" fillId="0" borderId="0" xfId="0" applyFont="1" applyNumberFormat="1">
      <alignment vertical="top"/>
    </xf>
    <xf numFmtId="0" fontId="38" fillId="0" borderId="0" xfId="0" applyFont="1">
      <alignment vertical="center" wrapText="1"/>
    </xf>
    <xf numFmtId="0" fontId="22" fillId="0" borderId="12" xfId="0" applyFont="1" applyBorder="1">
      <alignment vertical="center" wrapText="1"/>
    </xf>
    <xf numFmtId="49" fontId="22" fillId="0" borderId="0" xfId="0" applyFont="1" applyNumberFormat="1">
      <alignment horizontal="center" vertical="center" wrapText="1"/>
    </xf>
    <xf numFmtId="0" fontId="22" fillId="37" borderId="14" xfId="0" applyFont="1" applyFill="1" applyBorder="1">
      <alignment vertical="center" wrapText="1"/>
    </xf>
    <xf numFmtId="0" fontId="22" fillId="39" borderId="12" xfId="0" applyFont="1" applyFill="1" applyBorder="1">
      <alignment horizontal="left" vertical="center" wrapText="1" indent="1"/>
      <protection locked="0"/>
    </xf>
    <xf numFmtId="49" fontId="39" fillId="37" borderId="15" xfId="0" applyFont="1" applyFill="1" applyBorder="1" applyNumberFormat="1">
      <alignment horizontal="left" vertical="center" indent="2"/>
    </xf>
    <xf numFmtId="0" fontId="47" fillId="0" borderId="0" xfId="0" applyFont="1">
      <alignment vertical="center"/>
    </xf>
    <xf numFmtId="0" fontId="72" fillId="0" borderId="0" xfId="0" applyFont="1">
      <alignment vertical="center" wrapText="1"/>
    </xf>
    <xf numFmtId="0" fontId="41" fillId="35" borderId="0" xfId="0" applyFont="1" applyFill="1">
      <alignment horizontal="center" vertical="center" wrapText="1"/>
    </xf>
    <xf numFmtId="0" fontId="22" fillId="0" borderId="24" xfId="0" applyFont="1" applyBorder="1">
      <alignment vertical="center" wrapText="1"/>
    </xf>
    <xf numFmtId="0" fontId="36" fillId="0" borderId="0" xfId="0" applyFont="1">
      <alignment vertical="center" wrapText="1"/>
    </xf>
    <xf numFmtId="49" fontId="22" fillId="0" borderId="24" xfId="0" applyFont="1" applyBorder="1" applyNumberFormat="1">
      <alignment vertical="top"/>
    </xf>
    <xf numFmtId="0" fontId="47" fillId="0" borderId="24" xfId="0" applyFont="1" applyBorder="1">
      <alignment horizontal="center" vertical="center" wrapText="1"/>
    </xf>
    <xf numFmtId="0" fontId="47" fillId="0" borderId="24" xfId="0" applyFont="1" applyBorder="1">
      <alignment vertical="center" wrapText="1"/>
    </xf>
    <xf numFmtId="49" fontId="31" fillId="0" borderId="0" xfId="0" applyFont="1" applyNumberFormat="1">
      <alignment vertical="top"/>
    </xf>
    <xf numFmtId="49" fontId="0" fillId="0" borderId="24" xfId="0" applyFont="1" applyBorder="1" applyNumberFormat="1">
      <alignment vertical="top"/>
    </xf>
    <xf numFmtId="49" fontId="22" fillId="0" borderId="0" xfId="0" applyFont="1" applyNumberFormat="1">
      <alignment vertical="top"/>
    </xf>
    <xf numFmtId="49" fontId="22" fillId="0" borderId="0" xfId="0" applyFont="1" applyNumberFormat="1">
      <alignment vertical="center" wrapText="1"/>
    </xf>
    <xf numFmtId="0" fontId="31" fillId="0" borderId="0" xfId="0" applyFont="1">
      <alignment vertical="center" wrapText="1"/>
    </xf>
    <xf numFmtId="0" fontId="22" fillId="35" borderId="0" xfId="0" applyFont="1" applyFill="1">
      <alignment vertical="center" wrapText="1"/>
    </xf>
    <xf numFmtId="49" fontId="22" fillId="0" borderId="0" xfId="0" applyFont="1" applyNumberFormat="1">
      <alignment vertical="center" wrapText="1"/>
    </xf>
    <xf numFmtId="49" fontId="39" fillId="37" borderId="15" xfId="0" applyFont="1" applyFill="1" applyBorder="1" applyNumberFormat="1">
      <alignment horizontal="left" vertical="center" indent="4"/>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0" fontId="47" fillId="0" borderId="0" xfId="0" applyFont="1">
      <alignment vertical="center"/>
    </xf>
    <xf numFmtId="0" fontId="22" fillId="0" borderId="0" xfId="0" applyFont="1">
      <alignment vertical="top" wrapText="1"/>
    </xf>
    <xf numFmtId="49" fontId="22" fillId="0" borderId="12" xfId="0" applyFont="1" applyBorder="1" applyNumberFormat="1">
      <alignment horizontal="right" vertical="top"/>
    </xf>
    <xf numFmtId="49" fontId="22" fillId="0" borderId="17" xfId="0" applyFont="1" applyBorder="1" applyNumberFormat="1">
      <alignment horizontal="right" vertical="top"/>
    </xf>
    <xf numFmtId="49" fontId="39" fillId="37" borderId="15" xfId="0" applyFont="1" applyFill="1" applyBorder="1" applyNumberFormat="1">
      <alignment horizontal="left" vertical="center" indent="3"/>
    </xf>
    <xf numFmtId="49" fontId="0" fillId="0" borderId="0" xfId="0" applyFont="1" applyNumberFormat="1">
      <alignment vertical="top"/>
    </xf>
    <xf numFmtId="0" fontId="22" fillId="0" borderId="0" xfId="0" applyFont="1">
      <alignment vertical="center" wrapText="1"/>
    </xf>
    <xf numFmtId="49" fontId="38" fillId="0" borderId="0" xfId="0" applyFont="1" applyNumberFormat="1">
      <alignment vertical="top"/>
    </xf>
    <xf numFmtId="0" fontId="38" fillId="35" borderId="0" xfId="0" applyFont="1" applyFill="1">
      <alignment vertical="center" wrapText="1"/>
    </xf>
    <xf numFmtId="49" fontId="22" fillId="39" borderId="12" xfId="0" applyFont="1" applyFill="1" applyBorder="1" applyNumberFormat="1">
      <alignment horizontal="left" vertical="center" wrapText="1"/>
      <protection locked="0"/>
    </xf>
    <xf numFmtId="49" fontId="22" fillId="36" borderId="12" xfId="0" applyFont="1" applyFill="1" applyBorder="1" applyNumberFormat="1">
      <alignment horizontal="left" vertical="center" wrapText="1"/>
      <protection locked="0"/>
    </xf>
    <xf numFmtId="49" fontId="47" fillId="0" borderId="0" xfId="0" applyFont="1" applyNumberFormat="1">
      <alignment vertical="top"/>
    </xf>
    <xf numFmtId="49" fontId="47" fillId="0" borderId="0" xfId="0" applyFont="1" applyNumberFormat="1">
      <alignment vertical="top"/>
    </xf>
    <xf numFmtId="49" fontId="22" fillId="39" borderId="12" xfId="0" applyFont="1" applyFill="1" applyBorder="1" applyNumberFormat="1">
      <alignment horizontal="left" vertical="center" wrapText="1"/>
      <protection locked="0"/>
    </xf>
    <xf numFmtId="49" fontId="53" fillId="39" borderId="12" xfId="0" applyFont="1" applyFill="1" applyBorder="1" applyNumberFormat="1">
      <alignment horizontal="left" vertical="center" wrapText="1"/>
      <protection locked="0"/>
    </xf>
    <xf numFmtId="49" fontId="0" fillId="0" borderId="25" xfId="0" applyFont="1" applyBorder="1" applyNumberFormat="1">
      <alignment horizontal="center" vertical="center"/>
    </xf>
    <xf numFmtId="199" fontId="22" fillId="0" borderId="12" xfId="0" applyFont="1" applyBorder="1" applyNumberFormat="1">
      <alignment horizontal="right" vertical="center" wrapText="1"/>
    </xf>
    <xf numFmtId="49" fontId="53" fillId="39" borderId="14" xfId="0" applyFont="1" applyFill="1" applyBorder="1" applyNumberFormat="1">
      <alignment horizontal="left" vertical="center" wrapText="1"/>
      <protection locked="0"/>
    </xf>
    <xf numFmtId="0" fontId="22" fillId="35" borderId="12" xfId="0" applyFont="1" applyFill="1" applyBorder="1">
      <alignment horizontal="center" vertical="center" wrapText="1"/>
    </xf>
    <xf numFmtId="0" fontId="36" fillId="35" borderId="0" xfId="0" applyFont="1" applyFill="1">
      <alignment horizontal="center" vertical="center" wrapText="1"/>
    </xf>
    <xf numFmtId="0" fontId="0" fillId="0" borderId="12" xfId="0" applyFont="1" applyBorder="1">
      <alignment horizontal="left" vertical="center" wrapText="1"/>
    </xf>
    <xf numFmtId="0" fontId="22" fillId="35" borderId="0" xfId="0" applyFont="1" applyFill="1">
      <alignment horizontal="center" vertical="center" wrapText="1"/>
    </xf>
    <xf numFmtId="0" fontId="49" fillId="0" borderId="0" xfId="0" applyFont="1">
      <alignment vertical="top" wrapText="1"/>
    </xf>
    <xf numFmtId="0" fontId="22" fillId="35" borderId="26" xfId="0" applyFont="1" applyFill="1" applyBorder="1">
      <alignment horizontal="right" vertical="center" wrapText="1" indent="1"/>
    </xf>
    <xf numFmtId="0" fontId="0" fillId="35" borderId="26" xfId="0" applyFont="1" applyFill="1" applyBorder="1">
      <alignment horizontal="right" vertical="center" wrapText="1" indent="1"/>
    </xf>
    <xf numFmtId="0" fontId="22" fillId="0" borderId="0" xfId="0" applyFont="1">
      <alignment horizontal="left" vertical="center" wrapText="1" indent="4"/>
    </xf>
    <xf numFmtId="0" fontId="22" fillId="35" borderId="0" xfId="0" applyFont="1" applyFill="1">
      <alignment horizontal="center" vertical="center" wrapText="1"/>
    </xf>
    <xf numFmtId="49" fontId="39" fillId="37" borderId="15" xfId="0" applyFont="1" applyFill="1" applyBorder="1" applyNumberFormat="1">
      <alignment horizontal="left" vertical="center"/>
    </xf>
    <xf numFmtId="0" fontId="22" fillId="0" borderId="19" xfId="0" applyFont="1" applyBorder="1">
      <alignment vertical="center" wrapText="1"/>
    </xf>
    <xf numFmtId="0" fontId="22" fillId="0" borderId="0" xfId="0" applyFont="1">
      <alignment horizontal="left" vertical="center" wrapText="1" indent="1"/>
    </xf>
    <xf numFmtId="0" fontId="71" fillId="0" borderId="0" xfId="0" applyFont="1">
      <alignment vertical="center" wrapText="1"/>
    </xf>
    <xf numFmtId="49" fontId="0" fillId="35" borderId="14" xfId="0" applyFont="1" applyFill="1" applyBorder="1" applyNumberFormat="1">
      <alignment horizontal="center" vertical="center" wrapText="1"/>
    </xf>
    <xf numFmtId="49" fontId="39" fillId="37" borderId="27" xfId="0" applyFont="1" applyFill="1" applyBorder="1" applyNumberFormat="1">
      <alignment horizontal="left" vertical="center" indent="2"/>
    </xf>
    <xf numFmtId="49" fontId="53" fillId="36" borderId="12" xfId="0" applyFont="1" applyFill="1" applyBorder="1" applyNumberFormat="1">
      <alignment horizontal="left" vertical="center" wrapText="1"/>
      <protection locked="0"/>
    </xf>
    <xf numFmtId="49" fontId="22" fillId="0" borderId="19" xfId="0" applyFont="1" applyBorder="1" applyNumberFormat="1">
      <alignment vertical="top"/>
    </xf>
    <xf numFmtId="49" fontId="73" fillId="37" borderId="13" xfId="0" applyFont="1" applyFill="1" applyBorder="1" applyNumberFormat="1">
      <alignment horizontal="left" vertical="center" indent="1"/>
    </xf>
    <xf numFmtId="49" fontId="73" fillId="37" borderId="15" xfId="0" applyFont="1" applyFill="1" applyBorder="1" applyNumberFormat="1">
      <alignment horizontal="left" vertical="center" indent="1"/>
    </xf>
    <xf numFmtId="49" fontId="49" fillId="37" borderId="14" xfId="0" applyFont="1" applyFill="1" applyBorder="1" applyNumberFormat="1">
      <alignment horizontal="center" vertical="center"/>
    </xf>
    <xf numFmtId="49" fontId="73" fillId="37" borderId="15" xfId="0" applyFont="1" applyFill="1" applyBorder="1" applyNumberFormat="1">
      <alignment vertical="center"/>
    </xf>
    <xf numFmtId="0" fontId="0" fillId="41" borderId="12" xfId="0" applyFont="1" applyFill="1" applyBorder="1">
      <alignment horizontal="right" vertical="center"/>
    </xf>
    <xf numFmtId="0" fontId="32" fillId="0" borderId="0" xfId="0" applyFont="1">
      <alignment vertical="center" wrapText="1"/>
    </xf>
    <xf numFmtId="0" fontId="22" fillId="0" borderId="0" xfId="0" applyFont="1">
      <alignment vertical="center" wrapText="1"/>
    </xf>
    <xf numFmtId="0" fontId="33" fillId="35" borderId="0" xfId="0" applyFont="1" applyFill="1">
      <alignment vertical="center" wrapText="1"/>
    </xf>
    <xf numFmtId="0" fontId="31" fillId="0" borderId="0" xfId="0" applyFont="1">
      <alignment horizontal="center" vertical="center" wrapText="1"/>
    </xf>
    <xf numFmtId="0" fontId="0" fillId="0" borderId="0" xfId="0" applyFont="1">
      <alignment vertical="center" wrapText="1"/>
    </xf>
    <xf numFmtId="0" fontId="31" fillId="0" borderId="0" xfId="0" applyFont="1">
      <alignment horizontal="left" vertical="center" wrapText="1"/>
    </xf>
    <xf numFmtId="0" fontId="0" fillId="0" borderId="12" xfId="0" applyFont="1" applyBorder="1">
      <alignment horizontal="center" vertical="center" wrapText="1"/>
    </xf>
    <xf numFmtId="49" fontId="39" fillId="37" borderId="15" xfId="0" applyFont="1" applyFill="1" applyBorder="1" applyNumberFormat="1">
      <alignment horizontal="left" vertical="center" indent="1"/>
    </xf>
    <xf numFmtId="49" fontId="39" fillId="37" borderId="15" xfId="0" applyFont="1" applyFill="1" applyBorder="1" applyNumberFormat="1">
      <alignment horizontal="left" vertical="center"/>
    </xf>
    <xf numFmtId="0" fontId="46" fillId="0" borderId="0" xfId="0" applyFont="1">
      <alignment vertical="center" wrapText="1"/>
    </xf>
    <xf numFmtId="0" fontId="0" fillId="0" borderId="0" xfId="0" applyFont="1">
      <alignment vertical="center"/>
    </xf>
    <xf numFmtId="49" fontId="47" fillId="0" borderId="0" xfId="0" applyFont="1" applyNumberFormat="1">
      <alignment vertical="top"/>
    </xf>
    <xf numFmtId="0" fontId="74" fillId="0" borderId="0" xfId="0" applyFont="1">
      <alignment vertical="center" wrapText="1"/>
    </xf>
    <xf numFmtId="49" fontId="49" fillId="37" borderId="14" xfId="0" applyFont="1" applyFill="1" applyBorder="1" applyNumberFormat="1">
      <alignment horizontal="right" vertical="center" wrapText="1"/>
    </xf>
    <xf numFmtId="49" fontId="46" fillId="0" borderId="0" xfId="0" applyFont="1" applyNumberFormat="1">
      <alignment vertical="top"/>
    </xf>
    <xf numFmtId="49" fontId="0" fillId="0" borderId="0" xfId="0" applyFont="1" applyNumberFormat="1">
      <alignment vertical="top"/>
    </xf>
    <xf numFmtId="49" fontId="0" fillId="37" borderId="13" xfId="0" applyFont="1" applyFill="1" applyBorder="1" applyNumberFormat="1">
      <alignment horizontal="right" vertical="center" wrapText="1"/>
    </xf>
    <xf numFmtId="0" fontId="0" fillId="0" borderId="12" xfId="0" applyFont="1" applyBorder="1">
      <alignment horizontal="center" vertical="center" wrapText="1"/>
    </xf>
    <xf numFmtId="0" fontId="58" fillId="0" borderId="0" xfId="0" applyFont="1">
      <alignment horizontal="left" vertical="center" wrapText="1"/>
    </xf>
    <xf numFmtId="0" fontId="59" fillId="0" borderId="0" xfId="0" applyFont="1">
      <alignment vertical="center" wrapText="1"/>
    </xf>
    <xf numFmtId="0" fontId="60" fillId="35" borderId="0" xfId="0" applyFont="1" applyFill="1">
      <alignment vertical="center" wrapText="1"/>
    </xf>
    <xf numFmtId="0" fontId="61" fillId="35" borderId="0" xfId="0" applyFont="1" applyFill="1">
      <alignment horizontal="right" vertical="center" wrapText="1" indent="1"/>
    </xf>
    <xf numFmtId="0" fontId="60" fillId="0" borderId="0" xfId="0" applyFont="1">
      <alignment vertical="center" wrapText="1"/>
    </xf>
    <xf numFmtId="0" fontId="0" fillId="0" borderId="14" xfId="0" applyFont="1" applyBorder="1">
      <alignment horizontal="center" vertical="center" wrapText="1"/>
    </xf>
    <xf numFmtId="0" fontId="0" fillId="36" borderId="12" xfId="0" applyFont="1" applyFill="1" applyBorder="1">
      <alignment horizontal="right" vertical="center" wrapText="1"/>
      <protection locked="0"/>
    </xf>
    <xf numFmtId="3" fontId="0" fillId="39" borderId="12" xfId="0" applyFont="1" applyFill="1" applyBorder="1" applyNumberFormat="1">
      <alignment horizontal="right" vertical="center" wrapText="1"/>
      <protection locked="0"/>
    </xf>
    <xf numFmtId="49" fontId="0" fillId="0" borderId="12" xfId="0" applyFont="1" applyBorder="1" applyNumberFormat="1">
      <alignment horizontal="center" vertical="center" wrapText="1"/>
    </xf>
    <xf numFmtId="49" fontId="0" fillId="0" borderId="12" xfId="0" applyFont="1" applyBorder="1" applyNumberFormat="1">
      <alignment vertical="top" wrapText="1"/>
    </xf>
    <xf numFmtId="0" fontId="0" fillId="35" borderId="14" xfId="0" applyFont="1" applyFill="1" applyBorder="1">
      <alignment horizontal="left" vertical="center" wrapText="1" indent="1"/>
    </xf>
    <xf numFmtId="0" fontId="0" fillId="35" borderId="17" xfId="0" applyFont="1" applyFill="1" applyBorder="1">
      <alignment horizontal="left" vertical="center" wrapText="1"/>
    </xf>
    <xf numFmtId="0" fontId="0" fillId="35" borderId="12" xfId="0" applyFont="1" applyFill="1" applyBorder="1">
      <alignment horizontal="left" vertical="center" wrapText="1"/>
    </xf>
    <xf numFmtId="0" fontId="0" fillId="35" borderId="12" xfId="0" applyFont="1" applyFill="1" applyBorder="1">
      <alignment horizontal="left" vertical="center" wrapText="1" indent="2"/>
    </xf>
    <xf numFmtId="0" fontId="0" fillId="35" borderId="12" xfId="0" applyFont="1" applyFill="1" applyBorder="1">
      <alignment horizontal="center" vertical="center"/>
    </xf>
    <xf numFmtId="49" fontId="0" fillId="39" borderId="12" xfId="0" applyFont="1" applyFill="1" applyBorder="1" applyNumberFormat="1">
      <alignment horizontal="left" vertical="center" wrapText="1"/>
      <protection locked="0"/>
    </xf>
    <xf numFmtId="0" fontId="0" fillId="35" borderId="12" xfId="0" applyFont="1" applyFill="1" applyBorder="1">
      <alignment horizontal="left" vertical="center" wrapText="1" indent="1"/>
    </xf>
    <xf numFmtId="0" fontId="0" fillId="0" borderId="12" xfId="0" applyFont="1" applyBorder="1">
      <alignment horizontal="center" vertical="center" wrapText="1"/>
    </xf>
    <xf numFmtId="0" fontId="0" fillId="35" borderId="12" xfId="0" applyFont="1" applyFill="1" applyBorder="1">
      <alignment vertical="center" wrapText="1"/>
    </xf>
    <xf numFmtId="49" fontId="0" fillId="35" borderId="12" xfId="0" applyFont="1" applyFill="1" applyBorder="1" applyNumberFormat="1">
      <alignment horizontal="center" vertical="center"/>
    </xf>
    <xf numFmtId="0" fontId="0" fillId="35" borderId="12" xfId="0" applyFont="1" applyFill="1" applyBorder="1">
      <alignment horizontal="center" vertical="center" wrapText="1"/>
    </xf>
    <xf numFmtId="0" fontId="22" fillId="0" borderId="0" xfId="0" applyFont="1">
      <alignment vertical="center" wrapText="1"/>
    </xf>
    <xf numFmtId="49" fontId="35" fillId="35" borderId="0" xfId="0" applyFont="1" applyFill="1" applyNumberFormat="1">
      <alignment horizontal="center" vertical="center" wrapText="1"/>
    </xf>
    <xf numFmtId="0" fontId="31" fillId="0" borderId="0" xfId="0" applyFont="1">
      <alignment vertical="center" wrapText="1"/>
    </xf>
    <xf numFmtId="0" fontId="36" fillId="35" borderId="0" xfId="0" applyFont="1" applyFill="1">
      <alignment horizontal="center" vertical="center" wrapText="1"/>
    </xf>
    <xf numFmtId="0" fontId="36" fillId="0" borderId="0" xfId="0" applyFont="1">
      <alignment horizontal="center" vertical="center" wrapText="1"/>
    </xf>
    <xf numFmtId="0" fontId="41" fillId="0" borderId="0" xfId="0" applyFont="1">
      <alignment vertical="center" wrapText="1"/>
    </xf>
    <xf numFmtId="0" fontId="45" fillId="0" borderId="0" xfId="0" applyFont="1">
      <alignment horizontal="center" vertical="center" wrapText="1"/>
    </xf>
    <xf numFmtId="0" fontId="44" fillId="0" borderId="0" xfId="0" applyFont="1">
      <alignment vertical="center" wrapText="1"/>
    </xf>
    <xf numFmtId="0" fontId="0" fillId="35" borderId="0" xfId="0" applyFont="1" applyFill="1"/>
    <xf numFmtId="0" fontId="0" fillId="35" borderId="0" xfId="0" applyFont="1" applyFill="1">
      <alignment horizontal="center"/>
    </xf>
    <xf numFmtId="0" fontId="22" fillId="35" borderId="0" xfId="0" applyFont="1" applyFill="1">
      <alignment vertical="center" wrapText="1"/>
    </xf>
    <xf numFmtId="0" fontId="75" fillId="35" borderId="0" xfId="0" applyFont="1" applyFill="1">
      <alignment horizontal="center"/>
    </xf>
    <xf numFmtId="0" fontId="75" fillId="35" borderId="0" xfId="0" applyFont="1" applyFill="1"/>
    <xf numFmtId="0" fontId="76" fillId="35" borderId="0" xfId="0" applyFont="1" applyFill="1"/>
    <xf numFmtId="0" fontId="77" fillId="35" borderId="0" xfId="0" applyFont="1" applyFill="1">
      <alignment horizontal="right" vertical="center"/>
    </xf>
    <xf numFmtId="0" fontId="77" fillId="35" borderId="0" xfId="0" applyFont="1" applyFill="1">
      <alignment horizontal="right" vertical="top"/>
    </xf>
    <xf numFmtId="0" fontId="22" fillId="35" borderId="0" xfId="0" applyFont="1" applyFill="1">
      <alignment horizontal="center" vertical="center" wrapText="1"/>
    </xf>
    <xf numFmtId="0" fontId="35" fillId="35" borderId="0" xfId="0" applyFont="1" applyFill="1">
      <alignment horizontal="center" vertical="center"/>
    </xf>
    <xf numFmtId="0" fontId="22" fillId="0" borderId="12" xfId="0" applyFont="1" applyBorder="1">
      <alignment horizontal="center" vertical="center" wrapText="1"/>
    </xf>
    <xf numFmtId="0" fontId="44" fillId="0" borderId="0" xfId="0" applyFont="1">
      <alignment vertical="top" wrapText="1"/>
    </xf>
    <xf numFmtId="0" fontId="22" fillId="37" borderId="14" xfId="0" applyFont="1" applyFill="1" applyBorder="1">
      <alignment horizontal="center"/>
    </xf>
    <xf numFmtId="0" fontId="73" fillId="37" borderId="15" xfId="0" applyFont="1" applyFill="1" applyBorder="1">
      <alignment horizontal="left" vertical="center"/>
    </xf>
    <xf numFmtId="0" fontId="73" fillId="37" borderId="13" xfId="0" applyFont="1" applyFill="1" applyBorder="1">
      <alignment horizontal="left" vertical="center"/>
    </xf>
    <xf numFmtId="0" fontId="78" fillId="35" borderId="0" xfId="0" applyFont="1" applyFill="1">
      <alignment vertical="center"/>
    </xf>
    <xf numFmtId="0" fontId="78" fillId="35" borderId="0" xfId="0" applyFont="1" applyFill="1">
      <alignment vertical="center" wrapText="1"/>
    </xf>
    <xf numFmtId="49" fontId="22" fillId="35" borderId="12" xfId="0" applyFont="1" applyFill="1" applyBorder="1" applyNumberFormat="1">
      <alignment horizontal="center" vertical="center" wrapText="1"/>
    </xf>
    <xf numFmtId="0" fontId="22" fillId="35" borderId="12" xfId="0" applyFont="1" applyFill="1" applyBorder="1">
      <alignment horizontal="center" vertical="center" wrapText="1"/>
    </xf>
    <xf numFmtId="0" fontId="22" fillId="35" borderId="12" xfId="0" applyFont="1" applyFill="1" applyBorder="1">
      <alignment vertical="center" wrapText="1"/>
    </xf>
    <xf numFmtId="0" fontId="65" fillId="35" borderId="0" xfId="0" applyFont="1" applyFill="1"/>
    <xf numFmtId="0" fontId="51" fillId="35" borderId="0" xfId="0" applyFont="1" applyFill="1"/>
    <xf numFmtId="0" fontId="61" fillId="35" borderId="0" xfId="0" applyFont="1" applyFill="1"/>
    <xf numFmtId="0" fontId="61" fillId="35" borderId="0" xfId="0" applyFont="1" applyFill="1">
      <alignment horizontal="center"/>
    </xf>
    <xf numFmtId="0" fontId="58" fillId="0" borderId="0" xfId="0" applyFont="1">
      <alignment vertical="center" wrapText="1"/>
    </xf>
    <xf numFmtId="0" fontId="60" fillId="0" borderId="0" xfId="0" applyFont="1">
      <alignment vertical="center" wrapText="1"/>
    </xf>
    <xf numFmtId="0" fontId="60" fillId="35" borderId="0" xfId="0" applyFont="1" applyFill="1">
      <alignment vertical="center" wrapText="1"/>
    </xf>
    <xf numFmtId="0" fontId="60" fillId="35" borderId="0" xfId="0" applyFont="1" applyFill="1">
      <alignment horizontal="right" vertical="center"/>
    </xf>
    <xf numFmtId="0" fontId="60" fillId="35" borderId="0" xfId="0" applyFont="1" applyFill="1">
      <alignment horizontal="right" vertical="center" wrapText="1"/>
    </xf>
    <xf numFmtId="4" fontId="60" fillId="0" borderId="0" xfId="0" applyFont="1" applyNumberFormat="1">
      <alignment horizontal="right" vertical="center" wrapText="1"/>
    </xf>
    <xf numFmtId="0" fontId="60" fillId="0" borderId="0" xfId="0" applyFont="1">
      <alignment horizontal="left" vertical="center" wrapText="1" indent="1"/>
    </xf>
    <xf numFmtId="0" fontId="79" fillId="35" borderId="0" xfId="0" applyFont="1" applyFill="1">
      <alignment horizontal="center" vertical="center" wrapText="1"/>
    </xf>
    <xf numFmtId="0" fontId="35" fillId="35" borderId="0" xfId="0" applyFont="1" applyFill="1">
      <alignment horizontal="center" vertical="center" wrapText="1"/>
    </xf>
    <xf numFmtId="0" fontId="64" fillId="0" borderId="0" xfId="0" applyFont="1">
      <alignment vertical="center" wrapText="1"/>
    </xf>
    <xf numFmtId="0" fontId="47" fillId="0" borderId="0" xfId="0" applyFont="1">
      <alignment vertical="center" wrapText="1"/>
    </xf>
    <xf numFmtId="49" fontId="22" fillId="40" borderId="12" xfId="0" applyFont="1" applyFill="1" applyBorder="1" applyNumberFormat="1">
      <alignment horizontal="left" vertical="center" wrapText="1"/>
    </xf>
    <xf numFmtId="0" fontId="64" fillId="0" borderId="0" xfId="0" applyFont="1">
      <alignment horizontal="center" vertical="center" wrapText="1"/>
    </xf>
    <xf numFmtId="0" fontId="22" fillId="35" borderId="24" xfId="0" applyFont="1" applyFill="1" applyBorder="1">
      <alignment vertical="center" wrapText="1"/>
    </xf>
    <xf numFmtId="49" fontId="35" fillId="35" borderId="15" xfId="0" applyFont="1" applyFill="1" applyBorder="1" applyNumberFormat="1">
      <alignment horizontal="center" vertical="center" wrapText="1"/>
    </xf>
    <xf numFmtId="0" fontId="47" fillId="0" borderId="0" xfId="0" applyFont="1">
      <alignment horizontal="center" vertical="center" wrapText="1"/>
    </xf>
    <xf numFmtId="0" fontId="79" fillId="0" borderId="0" xfId="0" applyFont="1">
      <alignment horizontal="center" vertical="center" wrapText="1"/>
    </xf>
    <xf numFmtId="0" fontId="72" fillId="0" borderId="0" xfId="0" applyFont="1">
      <alignment vertical="center" wrapText="1"/>
    </xf>
    <xf numFmtId="49" fontId="72" fillId="0" borderId="12" xfId="0" applyFont="1" applyBorder="1" applyNumberFormat="1">
      <alignment horizontal="left" vertical="center" wrapText="1"/>
    </xf>
    <xf numFmtId="0" fontId="80" fillId="35" borderId="0" xfId="0" applyFont="1" applyFill="1">
      <alignment horizontal="center" vertical="center" wrapText="1"/>
    </xf>
    <xf numFmtId="49" fontId="72" fillId="0" borderId="17" xfId="0" applyFont="1" applyBorder="1" applyNumberFormat="1">
      <alignment horizontal="left" vertical="center" wrapText="1"/>
    </xf>
    <xf numFmtId="0" fontId="47" fillId="0" borderId="0" xfId="0" applyFont="1">
      <alignment vertical="center"/>
    </xf>
    <xf numFmtId="0" fontId="47" fillId="35" borderId="0" xfId="0" applyFont="1" applyFill="1"/>
    <xf numFmtId="0" fontId="47" fillId="35" borderId="0" xfId="0" applyFont="1" applyFill="1">
      <alignment vertical="center" wrapText="1"/>
    </xf>
    <xf numFmtId="0" fontId="47" fillId="0" borderId="0" xfId="0" applyFont="1">
      <alignment vertical="center" wrapText="1"/>
    </xf>
    <xf numFmtId="49" fontId="22" fillId="0" borderId="0" xfId="0" applyFont="1" applyNumberFormat="1">
      <alignment vertical="top"/>
    </xf>
    <xf numFmtId="0" fontId="22" fillId="0" borderId="0" xfId="0" applyFont="1">
      <alignment vertical="center" wrapText="1"/>
    </xf>
    <xf numFmtId="0" fontId="36" fillId="35" borderId="0" xfId="0" applyFont="1" applyFill="1">
      <alignment horizontal="center" vertical="center" wrapText="1"/>
    </xf>
    <xf numFmtId="0" fontId="41" fillId="0" borderId="0" xfId="0" applyFont="1">
      <alignment vertical="center" wrapText="1"/>
    </xf>
    <xf numFmtId="49" fontId="22" fillId="0" borderId="12" xfId="0" applyFont="1" applyBorder="1" applyNumberFormat="1">
      <alignment horizontal="left" vertical="center" wrapText="1"/>
    </xf>
    <xf numFmtId="0" fontId="22" fillId="0" borderId="0" xfId="0" applyFont="1">
      <alignment vertical="center" wrapText="1"/>
    </xf>
    <xf numFmtId="49" fontId="47" fillId="0" borderId="0" xfId="0" applyFont="1" applyNumberFormat="1">
      <alignment vertical="center" wrapText="1"/>
    </xf>
    <xf numFmtId="0" fontId="47" fillId="0" borderId="0" xfId="0" applyFont="1">
      <alignment vertical="center" wrapText="1"/>
    </xf>
    <xf numFmtId="0" fontId="22" fillId="0" borderId="12" xfId="0" applyFont="1" applyBorder="1">
      <alignment horizontal="center" vertical="center" wrapText="1"/>
    </xf>
    <xf numFmtId="14"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14" fontId="81" fillId="37" borderId="15" xfId="0" applyFont="1" applyFill="1" applyBorder="1" applyNumberFormat="1">
      <alignment horizontal="center" vertical="center" wrapText="1"/>
    </xf>
    <xf numFmtId="0" fontId="47" fillId="0" borderId="0" xfId="0" applyFont="1">
      <alignment horizontal="left" vertical="center" wrapText="1"/>
    </xf>
    <xf numFmtId="49" fontId="47" fillId="0" borderId="0" xfId="0" applyFont="1" applyNumberFormat="1">
      <alignment horizontal="left" vertical="center" wrapText="1"/>
    </xf>
    <xf numFmtId="0" fontId="47" fillId="0" borderId="0" xfId="0" applyFont="1">
      <alignment vertical="center" wrapText="1"/>
    </xf>
    <xf numFmtId="49" fontId="53" fillId="0" borderId="12" xfId="0" applyFont="1" applyBorder="1" applyNumberFormat="1">
      <alignment horizontal="left" vertical="center" wrapText="1"/>
    </xf>
    <xf numFmtId="14" fontId="22" fillId="40" borderId="12" xfId="0" applyFont="1" applyFill="1" applyBorder="1" applyNumberFormat="1">
      <alignment horizontal="center" vertical="center" wrapText="1"/>
    </xf>
    <xf numFmtId="0" fontId="22" fillId="0" borderId="12" xfId="0" applyFont="1" applyBorder="1">
      <alignment horizontal="center" vertical="center" wrapText="1"/>
    </xf>
    <xf numFmtId="0" fontId="22" fillId="0" borderId="0" xfId="0" applyFont="1">
      <alignment horizontal="center" vertical="center" wrapText="1"/>
    </xf>
    <xf numFmtId="0" fontId="22" fillId="0" borderId="12" xfId="0" applyFont="1" applyBorder="1">
      <alignment horizontal="center" vertical="center" wrapText="1"/>
    </xf>
    <xf numFmtId="49" fontId="22" fillId="40" borderId="12" xfId="0" applyFont="1" applyFill="1" applyBorder="1" applyNumberFormat="1">
      <alignment horizontal="center" vertical="center" wrapText="1"/>
    </xf>
    <xf numFmtId="0" fontId="82" fillId="0" borderId="0" xfId="0" applyFont="1">
      <alignment horizontal="center" vertical="center" wrapText="1"/>
    </xf>
    <xf numFmtId="0" fontId="36" fillId="0" borderId="0" xfId="0" applyFont="1">
      <alignment horizontal="center" vertical="center" wrapText="1"/>
    </xf>
    <xf numFmtId="49" fontId="22" fillId="0" borderId="12" xfId="0" applyFont="1" applyBorder="1" applyNumberFormat="1">
      <alignment horizontal="center" vertical="center" wrapText="1"/>
    </xf>
    <xf numFmtId="0" fontId="0" fillId="35" borderId="14" xfId="0" applyFont="1" applyFill="1" applyBorder="1">
      <alignment horizontal="left" vertical="center" wrapText="1"/>
    </xf>
    <xf numFmtId="49" fontId="49" fillId="37" borderId="15" xfId="0" applyFont="1" applyFill="1" applyBorder="1" applyNumberFormat="1">
      <alignment horizontal="center" vertical="center"/>
    </xf>
    <xf numFmtId="0" fontId="32" fillId="0" borderId="0" xfId="0" applyFont="1">
      <alignment vertical="center" wrapText="1"/>
    </xf>
    <xf numFmtId="0" fontId="31" fillId="0" borderId="0" xfId="0" applyFont="1">
      <alignment horizontal="center" vertical="center" wrapText="1"/>
    </xf>
    <xf numFmtId="0" fontId="22" fillId="0" borderId="0" xfId="0" applyFont="1">
      <alignment horizontal="center" vertical="center" wrapText="1"/>
    </xf>
    <xf numFmtId="0" fontId="22" fillId="0" borderId="0" xfId="0" applyFont="1">
      <alignment vertical="center" wrapText="1"/>
    </xf>
    <xf numFmtId="0" fontId="46" fillId="0" borderId="0" xfId="0" applyFont="1">
      <alignment horizontal="center" vertical="center" wrapText="1"/>
    </xf>
    <xf numFmtId="0" fontId="83" fillId="0" borderId="0" xfId="0" applyFont="1">
      <alignment vertical="center" wrapText="1"/>
    </xf>
    <xf numFmtId="49" fontId="46" fillId="0" borderId="0" xfId="0" applyFont="1" applyNumberFormat="1">
      <alignment horizontal="center" vertical="center" wrapText="1"/>
    </xf>
    <xf numFmtId="0" fontId="46" fillId="0" borderId="0" xfId="0" applyFont="1">
      <alignment vertical="center" wrapText="1"/>
    </xf>
    <xf numFmtId="49" fontId="22" fillId="0" borderId="0" xfId="0" applyFont="1" applyNumberFormat="1">
      <alignment horizontal="center" vertical="top" wrapText="1"/>
    </xf>
    <xf numFmtId="49" fontId="22" fillId="0" borderId="12" xfId="0" applyFont="1" applyBorder="1" applyNumberFormat="1">
      <alignment horizontal="center" vertical="center" wrapText="1"/>
    </xf>
    <xf numFmtId="49" fontId="22" fillId="39" borderId="12" xfId="0" applyFont="1" applyFill="1" applyBorder="1" applyNumberFormat="1">
      <alignment vertical="center" wrapText="1"/>
      <protection locked="0"/>
    </xf>
    <xf numFmtId="4" fontId="22" fillId="36" borderId="12" xfId="0" applyFont="1" applyFill="1" applyBorder="1" applyNumberFormat="1">
      <alignment horizontal="right" vertical="center" wrapText="1"/>
      <protection locked="0"/>
    </xf>
    <xf numFmtId="0" fontId="22" fillId="0" borderId="13" xfId="0" applyFont="1" applyBorder="1">
      <alignment vertical="top" wrapText="1"/>
    </xf>
    <xf numFmtId="0" fontId="84" fillId="0" borderId="0" xfId="0" applyFont="1">
      <alignment vertical="center" wrapText="1"/>
    </xf>
    <xf numFmtId="0" fontId="54" fillId="0" borderId="0" xfId="0" applyFont="1">
      <alignment vertical="center" wrapText="1"/>
    </xf>
    <xf numFmtId="200" fontId="22" fillId="36" borderId="12" xfId="0" applyFont="1" applyFill="1" applyBorder="1" applyNumberFormat="1">
      <alignment horizontal="right" vertical="center" wrapText="1"/>
      <protection locked="0"/>
    </xf>
    <xf numFmtId="0" fontId="22" fillId="0" borderId="28" xfId="0" applyFont="1" applyBorder="1">
      <alignment horizontal="center" vertical="center" wrapText="1"/>
    </xf>
    <xf numFmtId="0" fontId="22" fillId="39" borderId="12" xfId="0" applyFont="1" applyFill="1" applyBorder="1">
      <alignment horizontal="left" vertical="center" wrapText="1" indent="2"/>
      <protection locked="0"/>
    </xf>
    <xf numFmtId="49" fontId="47" fillId="0" borderId="0" xfId="0" applyFont="1" applyNumberFormat="1">
      <alignment horizontal="center" vertical="center" wrapText="1"/>
    </xf>
    <xf numFmtId="0" fontId="47" fillId="0" borderId="28" xfId="0" applyFont="1" applyBorder="1">
      <alignment horizontal="center" vertical="center" wrapText="1"/>
    </xf>
    <xf numFmtId="0" fontId="47" fillId="0" borderId="12" xfId="0" applyFont="1" applyBorder="1">
      <alignment horizontal="left" vertical="center" wrapText="1" indent="2"/>
    </xf>
    <xf numFmtId="0" fontId="47" fillId="0" borderId="12" xfId="0" applyFont="1" applyBorder="1">
      <alignment horizontal="center" vertical="center" wrapText="1"/>
    </xf>
    <xf numFmtId="0" fontId="47" fillId="0" borderId="12" xfId="0" applyFont="1" applyBorder="1">
      <alignment vertical="center" wrapText="1"/>
    </xf>
    <xf numFmtId="0" fontId="22" fillId="0" borderId="12" xfId="0" applyFont="1" applyBorder="1">
      <alignment horizontal="left" vertical="center" wrapText="1" indent="3"/>
    </xf>
    <xf numFmtId="49" fontId="22" fillId="39" borderId="12" xfId="0" applyFont="1" applyFill="1" applyBorder="1" applyNumberFormat="1">
      <alignment horizontal="center" vertical="center" wrapText="1"/>
      <protection locked="0"/>
    </xf>
    <xf numFmtId="0" fontId="22" fillId="36" borderId="12" xfId="0" applyFont="1" applyFill="1" applyBorder="1">
      <alignment horizontal="left" vertical="center" wrapText="1"/>
      <protection locked="0"/>
    </xf>
    <xf numFmtId="0" fontId="45" fillId="0" borderId="0" xfId="0" applyFont="1">
      <alignment vertical="center" wrapText="1"/>
    </xf>
    <xf numFmtId="4" fontId="22" fillId="39" borderId="12" xfId="0" applyFont="1" applyFill="1" applyBorder="1" applyNumberFormat="1">
      <alignment horizontal="right" vertical="center" wrapText="1"/>
      <protection locked="0"/>
    </xf>
    <xf numFmtId="4" fontId="22" fillId="34" borderId="12" xfId="0" applyFont="1" applyFill="1" applyBorder="1" applyNumberFormat="1">
      <alignment horizontal="right" vertical="center" wrapText="1"/>
    </xf>
    <xf numFmtId="0" fontId="22" fillId="0" borderId="12" xfId="0" applyFont="1" applyBorder="1">
      <alignment horizontal="left" vertical="center" wrapText="1" indent="1"/>
    </xf>
    <xf numFmtId="49" fontId="72" fillId="0" borderId="0" xfId="0" applyFont="1" applyNumberFormat="1">
      <alignment horizontal="center" vertical="center" wrapText="1"/>
    </xf>
    <xf numFmtId="49" fontId="72" fillId="0" borderId="28" xfId="0" applyFont="1" applyBorder="1" applyNumberFormat="1">
      <alignment horizontal="center" vertical="center" wrapText="1"/>
    </xf>
    <xf numFmtId="0" fontId="72" fillId="0" borderId="12" xfId="0" applyFont="1" applyBorder="1">
      <alignment horizontal="left" vertical="center" wrapText="1" indent="2"/>
    </xf>
    <xf numFmtId="0" fontId="72" fillId="0" borderId="12" xfId="0" applyFont="1" applyBorder="1">
      <alignment horizontal="center" vertical="center" wrapText="1"/>
    </xf>
    <xf numFmtId="0" fontId="72" fillId="0" borderId="12" xfId="0" applyFont="1" applyBorder="1">
      <alignment vertical="center" wrapText="1"/>
    </xf>
    <xf numFmtId="0" fontId="85" fillId="0" borderId="0" xfId="0" applyFont="1">
      <alignment vertical="center" wrapText="1"/>
    </xf>
    <xf numFmtId="0" fontId="63" fillId="0" borderId="0" xfId="0" applyFont="1">
      <alignment vertical="center" wrapText="1"/>
    </xf>
    <xf numFmtId="0" fontId="72" fillId="0" borderId="28" xfId="0" applyFont="1" applyBorder="1">
      <alignment horizontal="center" vertical="center" wrapText="1"/>
    </xf>
    <xf numFmtId="0" fontId="72" fillId="0" borderId="12" xfId="0" applyFont="1" applyBorder="1">
      <alignment horizontal="left" vertical="center" wrapText="1" indent="3"/>
    </xf>
    <xf numFmtId="4" fontId="72" fillId="0" borderId="12" xfId="0" applyFont="1" applyBorder="1" applyNumberFormat="1">
      <alignment horizontal="right" vertical="center" wrapText="1"/>
    </xf>
    <xf numFmtId="49" fontId="22" fillId="37" borderId="14" xfId="0" applyFont="1" applyFill="1" applyBorder="1" applyNumberFormat="1">
      <alignment vertical="center" wrapText="1"/>
    </xf>
    <xf numFmtId="49" fontId="39" fillId="37" borderId="15" xfId="0" applyFont="1" applyFill="1" applyBorder="1" applyNumberFormat="1">
      <alignment horizontal="left" vertical="center" indent="2"/>
    </xf>
    <xf numFmtId="0" fontId="22" fillId="37" borderId="15" xfId="0" applyFont="1" applyFill="1" applyBorder="1">
      <alignment vertical="center" wrapText="1"/>
    </xf>
    <xf numFmtId="0" fontId="46" fillId="37" borderId="13" xfId="0" applyFont="1" applyFill="1" applyBorder="1">
      <alignment vertical="center" wrapText="1"/>
    </xf>
    <xf numFmtId="14" fontId="22" fillId="0" borderId="0" xfId="0" applyFont="1" applyNumberFormat="1">
      <alignment horizontal="center" vertical="center" wrapText="1"/>
    </xf>
    <xf numFmtId="49" fontId="49" fillId="0" borderId="0" xfId="0" applyFont="1" applyNumberFormat="1">
      <alignment horizontal="center" vertical="center"/>
    </xf>
    <xf numFmtId="0" fontId="22" fillId="0" borderId="12" xfId="0" applyFont="1" applyBorder="1">
      <alignment horizontal="left" vertical="center" wrapText="1" indent="2"/>
    </xf>
    <xf numFmtId="200" fontId="22" fillId="39" borderId="12" xfId="0" applyFont="1" applyFill="1" applyBorder="1" applyNumberFormat="1">
      <alignment horizontal="right" vertical="center" wrapText="1"/>
      <protection locked="0"/>
    </xf>
    <xf numFmtId="0" fontId="22" fillId="0" borderId="17" xfId="0" applyFont="1" applyBorder="1">
      <alignment horizontal="center" vertical="center" wrapText="1"/>
    </xf>
    <xf numFmtId="4" fontId="22" fillId="34" borderId="17" xfId="0" applyFont="1" applyFill="1" applyBorder="1" applyNumberFormat="1">
      <alignment horizontal="right" vertical="center" wrapText="1"/>
    </xf>
    <xf numFmtId="49" fontId="39" fillId="37" borderId="15" xfId="0" applyFont="1" applyFill="1" applyBorder="1" applyNumberFormat="1">
      <alignment horizontal="left" vertical="center" indent="1"/>
    </xf>
    <xf numFmtId="0" fontId="22" fillId="0" borderId="0" xfId="0" applyFont="1">
      <alignment horizontal="left" vertical="center" wrapText="1"/>
    </xf>
    <xf numFmtId="0" fontId="22" fillId="0" borderId="0" xfId="0" applyFont="1">
      <alignment vertical="center"/>
    </xf>
    <xf numFmtId="0" fontId="0" fillId="0" borderId="0" xfId="0" applyFont="1">
      <alignment vertical="center"/>
    </xf>
    <xf numFmtId="0" fontId="46" fillId="0" borderId="0" xfId="0" applyFont="1">
      <alignment vertical="center"/>
    </xf>
    <xf numFmtId="0" fontId="22" fillId="0" borderId="0" xfId="0" applyFont="1">
      <alignment vertical="center"/>
    </xf>
    <xf numFmtId="0" fontId="86" fillId="0" borderId="0" xfId="0" applyFont="1">
      <alignment vertical="center"/>
    </xf>
    <xf numFmtId="0" fontId="40" fillId="0" borderId="0" xfId="0" applyFont="1">
      <alignment vertical="center"/>
    </xf>
    <xf numFmtId="0" fontId="22" fillId="0" borderId="0" xfId="0" applyFont="1">
      <alignment vertical="center" wrapText="1"/>
    </xf>
    <xf numFmtId="0" fontId="40" fillId="0" borderId="0" xfId="0" applyFont="1">
      <alignment vertical="center"/>
    </xf>
    <xf numFmtId="0" fontId="86" fillId="0" borderId="0" xfId="0" applyFont="1">
      <alignment vertical="center"/>
    </xf>
    <xf numFmtId="0" fontId="52" fillId="0" borderId="0" xfId="0" applyFont="1">
      <alignment vertical="center"/>
    </xf>
    <xf numFmtId="0" fontId="22" fillId="0" borderId="0" xfId="0" applyFont="1">
      <alignment horizontal="center" vertical="center" wrapText="1"/>
    </xf>
    <xf numFmtId="49" fontId="35" fillId="0" borderId="0" xfId="0" applyFont="1" applyNumberFormat="1">
      <alignment horizontal="center" vertical="center" wrapText="1"/>
    </xf>
    <xf numFmtId="49" fontId="35" fillId="0" borderId="12" xfId="0" applyFont="1" applyBorder="1" applyNumberFormat="1">
      <alignment horizontal="center" vertical="center" wrapText="1"/>
    </xf>
    <xf numFmtId="0" fontId="46" fillId="0" borderId="0" xfId="0" applyFont="1">
      <alignment vertical="center"/>
    </xf>
    <xf numFmtId="0" fontId="0" fillId="0" borderId="0" xfId="0" applyFont="1">
      <alignment vertical="center"/>
    </xf>
    <xf numFmtId="0" fontId="47" fillId="0" borderId="0" xfId="0" applyFont="1">
      <alignment horizontal="center" vertical="center"/>
    </xf>
    <xf numFmtId="0" fontId="22" fillId="0" borderId="0" xfId="0" applyFont="1">
      <alignment horizontal="center" vertical="center" wrapText="1"/>
    </xf>
    <xf numFmtId="0" fontId="22" fillId="37" borderId="14" xfId="0" applyFont="1" applyFill="1" applyBorder="1">
      <alignment horizontal="center" vertical="center" wrapText="1"/>
    </xf>
    <xf numFmtId="49" fontId="22" fillId="37" borderId="15" xfId="0" applyFont="1" applyFill="1" applyBorder="1" applyNumberFormat="1">
      <alignment horizontal="center" vertical="center" wrapText="1"/>
    </xf>
    <xf numFmtId="0" fontId="0" fillId="37" borderId="13" xfId="0" applyFont="1" applyFill="1" applyBorder="1">
      <alignment vertical="center"/>
    </xf>
    <xf numFmtId="49" fontId="22" fillId="0" borderId="17" xfId="0" applyFont="1" applyBorder="1" applyNumberFormat="1">
      <alignment horizontal="center" vertical="center" wrapText="1"/>
    </xf>
    <xf numFmtId="49" fontId="75" fillId="0" borderId="12" xfId="0" applyFont="1" applyBorder="1" applyNumberFormat="1">
      <alignment horizontal="left" vertical="center" wrapText="1" indent="1"/>
    </xf>
    <xf numFmtId="0" fontId="46" fillId="0" borderId="0" xfId="0" applyFont="1">
      <alignment vertical="center"/>
    </xf>
    <xf numFmtId="0" fontId="74" fillId="0" borderId="0" xfId="0" applyFont="1">
      <alignment vertical="center"/>
    </xf>
    <xf numFmtId="0" fontId="0" fillId="0" borderId="0" xfId="0" applyFont="1">
      <alignment vertical="center"/>
    </xf>
    <xf numFmtId="49" fontId="39" fillId="37" borderId="13" xfId="0" applyFont="1" applyFill="1" applyBorder="1" applyNumberFormat="1">
      <alignment horizontal="left" vertical="center" indent="1"/>
    </xf>
    <xf numFmtId="49" fontId="49" fillId="37" borderId="13" xfId="0" applyFont="1" applyFill="1" applyBorder="1" applyNumberFormat="1">
      <alignment horizontal="right" vertical="center" wrapText="1"/>
    </xf>
    <xf numFmtId="0" fontId="75" fillId="42" borderId="0" xfId="0" applyFont="1" applyFill="1">
      <alignment vertical="top"/>
    </xf>
    <xf numFmtId="49" fontId="31" fillId="0" borderId="0" xfId="0" applyFont="1" applyNumberFormat="1">
      <alignment horizontal="center" vertical="center" wrapText="1"/>
    </xf>
    <xf numFmtId="0" fontId="47" fillId="0" borderId="0" xfId="0" applyFont="1">
      <alignment vertical="center" wrapText="1"/>
    </xf>
    <xf numFmtId="0" fontId="31" fillId="0" borderId="0" xfId="0" applyFont="1">
      <alignment vertical="center" wrapText="1"/>
    </xf>
    <xf numFmtId="0" fontId="22" fillId="0" borderId="0" xfId="0" applyFont="1">
      <alignment horizontal="center" vertical="center" wrapText="1"/>
    </xf>
    <xf numFmtId="0" fontId="49" fillId="0" borderId="0" xfId="0" applyFont="1">
      <alignment horizontal="center" vertical="center" wrapText="1"/>
    </xf>
    <xf numFmtId="49" fontId="31" fillId="0" borderId="0" xfId="0" applyFont="1" applyNumberFormat="1">
      <alignment horizontal="center" vertical="center" wrapText="1"/>
    </xf>
    <xf numFmtId="4" fontId="22" fillId="0" borderId="0" xfId="0" applyFont="1" applyNumberFormat="1">
      <alignment horizontal="right" vertical="center" wrapText="1"/>
    </xf>
    <xf numFmtId="9" fontId="49" fillId="0" borderId="0" xfId="0" applyFont="1" applyNumberFormat="1">
      <alignment horizontal="center" vertical="center" wrapText="1"/>
    </xf>
    <xf numFmtId="0" fontId="71" fillId="0" borderId="0" xfId="0" applyFont="1">
      <alignment vertical="center" wrapText="1"/>
    </xf>
    <xf numFmtId="0" fontId="47" fillId="0" borderId="0" xfId="0" applyFont="1">
      <alignment vertical="center" wrapText="1"/>
    </xf>
    <xf numFmtId="0" fontId="31" fillId="0" borderId="0" xfId="0" applyFont="1">
      <alignment vertical="center" wrapText="1"/>
    </xf>
    <xf numFmtId="49" fontId="63" fillId="0" borderId="0" xfId="0" applyFont="1" applyNumberFormat="1">
      <alignment horizontal="center" vertical="center" wrapText="1"/>
    </xf>
    <xf numFmtId="0" fontId="63" fillId="0" borderId="0" xfId="0" applyFont="1">
      <alignment vertical="center" wrapText="1"/>
    </xf>
    <xf numFmtId="0" fontId="0" fillId="0" borderId="0" xfId="0" applyFont="1">
      <alignment vertical="top"/>
    </xf>
    <xf numFmtId="49" fontId="0" fillId="0" borderId="0" xfId="0" applyFont="1" applyNumberFormat="1">
      <alignment vertical="top"/>
    </xf>
    <xf numFmtId="49" fontId="47" fillId="0" borderId="0" xfId="0" applyFont="1" applyNumberFormat="1">
      <alignment vertical="top"/>
    </xf>
    <xf numFmtId="49" fontId="46" fillId="0" borderId="0" xfId="0" applyFont="1" applyNumberFormat="1">
      <alignment vertical="top"/>
    </xf>
    <xf numFmtId="49" fontId="47" fillId="0" borderId="0" xfId="0" applyFont="1" applyNumberFormat="1">
      <alignment vertical="top"/>
    </xf>
    <xf numFmtId="49" fontId="46" fillId="0" borderId="0" xfId="0" applyFont="1" applyNumberFormat="1">
      <alignment vertical="top"/>
    </xf>
    <xf numFmtId="49" fontId="46" fillId="0" borderId="0" xfId="0" applyFont="1" applyNumberFormat="1">
      <alignment vertical="top"/>
    </xf>
    <xf numFmtId="0" fontId="46" fillId="0" borderId="0" xfId="0" applyFont="1">
      <alignment vertical="top"/>
    </xf>
    <xf numFmtId="0" fontId="74" fillId="0" borderId="0" xfId="0" applyFont="1">
      <alignment vertical="top"/>
    </xf>
    <xf numFmtId="0" fontId="87" fillId="0" borderId="0" xfId="0" applyFont="1">
      <alignment vertical="top"/>
    </xf>
    <xf numFmtId="0" fontId="46" fillId="0" borderId="0" xfId="0" applyFont="1">
      <alignment horizontal="center" vertical="center" wrapText="1"/>
    </xf>
    <xf numFmtId="0" fontId="47" fillId="0" borderId="0" xfId="0" applyFont="1">
      <alignment horizontal="center" vertical="center" wrapText="1"/>
    </xf>
    <xf numFmtId="0" fontId="47" fillId="0" borderId="12" xfId="0" applyFont="1" applyBorder="1">
      <alignment horizontal="left" vertical="center" wrapText="1"/>
    </xf>
    <xf numFmtId="0" fontId="47" fillId="0" borderId="12" xfId="0" applyFont="1" applyBorder="1">
      <alignment vertical="center" wrapText="1"/>
    </xf>
    <xf numFmtId="49" fontId="0" fillId="0" borderId="13" xfId="0" applyFont="1" applyBorder="1" applyNumberFormat="1">
      <alignment horizontal="center" vertical="center" wrapText="1"/>
    </xf>
    <xf numFmtId="49" fontId="0" fillId="0" borderId="12" xfId="0" applyFont="1" applyBorder="1" applyNumberFormat="1">
      <alignment horizontal="center" vertical="center"/>
    </xf>
    <xf numFmtId="4" fontId="0" fillId="34" borderId="12" xfId="0" applyFont="1" applyFill="1" applyBorder="1" applyNumberFormat="1">
      <alignment horizontal="right" vertical="center" wrapText="1"/>
    </xf>
    <xf numFmtId="0" fontId="0" fillId="0" borderId="12" xfId="0" applyFont="1" applyBorder="1">
      <alignment vertical="center" wrapText="1"/>
    </xf>
    <xf numFmtId="49" fontId="0" fillId="0" borderId="29" xfId="0" applyFont="1" applyBorder="1" applyNumberFormat="1">
      <alignment horizontal="center" vertical="center" wrapText="1"/>
    </xf>
    <xf numFmtId="4" fontId="0" fillId="39" borderId="12" xfId="0" applyFont="1" applyFill="1" applyBorder="1" applyNumberFormat="1">
      <alignment horizontal="right" vertical="center" wrapText="1"/>
      <protection locked="0"/>
    </xf>
    <xf numFmtId="49" fontId="0" fillId="39" borderId="12" xfId="0" applyFont="1" applyFill="1" applyBorder="1" applyNumberFormat="1">
      <alignment horizontal="center" vertical="center" wrapText="1"/>
      <protection locked="0"/>
    </xf>
    <xf numFmtId="4" fontId="46" fillId="0" borderId="12" xfId="0" applyFont="1" applyBorder="1" applyNumberFormat="1">
      <alignment horizontal="right" vertical="center" wrapText="1"/>
    </xf>
    <xf numFmtId="49" fontId="0" fillId="37" borderId="30" xfId="0" applyFont="1" applyFill="1" applyBorder="1" applyNumberFormat="1">
      <alignment horizontal="center" vertical="center"/>
    </xf>
    <xf numFmtId="49" fontId="0" fillId="37" borderId="15" xfId="0" applyFont="1" applyFill="1" applyBorder="1" applyNumberFormat="1">
      <alignment horizontal="center" vertical="center"/>
    </xf>
    <xf numFmtId="49" fontId="39" fillId="37" borderId="15" xfId="0" applyFont="1" applyFill="1" applyBorder="1" applyNumberFormat="1">
      <alignment horizontal="left" vertical="center"/>
    </xf>
    <xf numFmtId="49" fontId="39" fillId="37" borderId="13" xfId="0" applyFont="1" applyFill="1" applyBorder="1" applyNumberFormat="1">
      <alignment horizontal="left" vertical="center" indent="1"/>
    </xf>
    <xf numFmtId="49" fontId="39" fillId="37" borderId="14" xfId="0" applyFont="1" applyFill="1" applyBorder="1" applyNumberFormat="1">
      <alignment horizontal="left" vertical="center"/>
    </xf>
    <xf numFmtId="49" fontId="39" fillId="37" borderId="15" xfId="0" applyFont="1" applyFill="1" applyBorder="1" applyNumberFormat="1">
      <alignment horizontal="left" vertical="center" indent="1"/>
    </xf>
    <xf numFmtId="49" fontId="39" fillId="37" borderId="15" xfId="0" applyFont="1" applyFill="1" applyBorder="1" applyNumberFormat="1">
      <alignment horizontal="left" vertical="center"/>
    </xf>
    <xf numFmtId="49" fontId="39" fillId="37" borderId="13" xfId="0" applyFont="1" applyFill="1" applyBorder="1" applyNumberFormat="1">
      <alignment horizontal="left" vertical="center" indent="1"/>
    </xf>
    <xf numFmtId="0" fontId="39" fillId="0" borderId="12" xfId="0" applyFont="1" applyBorder="1">
      <alignment horizontal="left" vertical="center" indent="1"/>
    </xf>
    <xf numFmtId="0" fontId="22" fillId="0" borderId="0" xfId="0" applyFont="1">
      <alignment horizontal="right" vertical="center" wrapText="1"/>
    </xf>
    <xf numFmtId="0" fontId="0" fillId="0" borderId="0" xfId="0" applyFont="1">
      <alignment vertical="center"/>
    </xf>
    <xf numFmtId="0" fontId="44" fillId="0" borderId="0" xfId="0" applyFont="1">
      <alignment horizontal="right" vertical="top" wrapText="1"/>
    </xf>
    <xf numFmtId="0" fontId="22" fillId="0" borderId="0" xfId="0" applyFont="1">
      <alignment vertical="top" wrapText="1"/>
    </xf>
    <xf numFmtId="0" fontId="22" fillId="0" borderId="0" xfId="0" applyFont="1">
      <alignment horizontal="left" vertical="top" wrapText="1"/>
    </xf>
    <xf numFmtId="0" fontId="35" fillId="0" borderId="0" xfId="0" applyFont="1">
      <alignment horizontal="center" vertical="center" wrapText="1"/>
    </xf>
    <xf numFmtId="4" fontId="22" fillId="0" borderId="12" xfId="0" applyFont="1" applyBorder="1" applyNumberFormat="1">
      <alignment horizontal="center" vertical="center" wrapText="1"/>
    </xf>
    <xf numFmtId="49" fontId="53" fillId="36" borderId="14" xfId="0" applyFont="1" applyFill="1" applyBorder="1" applyNumberFormat="1">
      <alignment horizontal="left" vertical="center" wrapText="1"/>
      <protection locked="0"/>
    </xf>
    <xf numFmtId="49" fontId="53" fillId="36" borderId="14" xfId="0" applyFont="1" applyFill="1" applyBorder="1" applyNumberFormat="1">
      <alignment horizontal="left" vertical="center" wrapText="1"/>
      <protection locked="0"/>
    </xf>
    <xf numFmtId="49" fontId="22" fillId="39" borderId="12" xfId="0" applyFont="1" applyFill="1" applyBorder="1" applyNumberFormat="1">
      <alignment horizontal="left" vertical="center" wrapText="1"/>
      <protection locked="0"/>
    </xf>
    <xf numFmtId="0" fontId="44" fillId="0" borderId="0" xfId="0" applyFont="1">
      <alignment vertical="top"/>
    </xf>
    <xf numFmtId="49" fontId="22" fillId="0" borderId="31" xfId="0" applyFont="1" applyBorder="1" applyNumberFormat="1">
      <alignment horizontal="center" vertical="center" wrapText="1"/>
    </xf>
    <xf numFmtId="0" fontId="22" fillId="0" borderId="31" xfId="0" applyFont="1" applyBorder="1">
      <alignment horizontal="left" vertical="center" wrapText="1"/>
    </xf>
    <xf numFmtId="0" fontId="22" fillId="0" borderId="31" xfId="0" applyFont="1" applyBorder="1">
      <alignment horizontal="left" vertical="center" wrapText="1" indent="1"/>
    </xf>
    <xf numFmtId="4" fontId="22" fillId="39" borderId="31" xfId="0" applyFont="1" applyFill="1" applyBorder="1" applyNumberFormat="1">
      <alignment horizontal="right" vertical="center" wrapText="1"/>
      <protection locked="0"/>
    </xf>
    <xf numFmtId="49" fontId="22" fillId="0" borderId="32" xfId="0" applyFont="1" applyBorder="1" applyNumberFormat="1">
      <alignment horizontal="center" vertical="center" wrapText="1"/>
    </xf>
    <xf numFmtId="49" fontId="22" fillId="39" borderId="12" xfId="0" applyFont="1" applyFill="1" applyBorder="1" applyNumberFormat="1">
      <alignment horizontal="left" vertical="center" wrapText="1" indent="1"/>
      <protection locked="0"/>
    </xf>
    <xf numFmtId="0" fontId="22" fillId="0" borderId="31" xfId="0" applyFont="1" applyBorder="1">
      <alignment horizontal="left" vertical="center" wrapText="1" indent="2"/>
    </xf>
    <xf numFmtId="0" fontId="46" fillId="0" borderId="0" xfId="0" applyFont="1">
      <alignment horizontal="center" vertical="center" wrapText="1"/>
    </xf>
    <xf numFmtId="49" fontId="22" fillId="0" borderId="0" xfId="0" applyFont="1" applyNumberFormat="1">
      <alignment horizontal="left" vertical="center" wrapText="1"/>
    </xf>
    <xf numFmtId="0" fontId="83" fillId="0" borderId="0" xfId="0" applyFont="1">
      <alignment vertical="center" wrapText="1"/>
    </xf>
    <xf numFmtId="0" fontId="83" fillId="0" borderId="0" xfId="0" applyFont="1">
      <alignment vertical="center" wrapText="1"/>
    </xf>
    <xf numFmtId="0" fontId="22" fillId="0" borderId="0" xfId="0" applyFont="1">
      <alignment horizontal="left" vertical="center" wrapText="1"/>
    </xf>
    <xf numFmtId="0" fontId="22" fillId="0" borderId="12" xfId="0" applyFont="1" applyBorder="1">
      <alignment horizontal="left" vertical="center" wrapText="1"/>
    </xf>
    <xf numFmtId="3" fontId="22" fillId="0" borderId="14" xfId="0" applyFont="1" applyBorder="1" applyNumberFormat="1">
      <alignment vertical="center" wrapText="1"/>
    </xf>
    <xf numFmtId="0" fontId="22" fillId="0" borderId="13" xfId="0" applyFont="1" applyBorder="1">
      <alignment vertical="center" wrapText="1"/>
    </xf>
    <xf numFmtId="4" fontId="22" fillId="36" borderId="14" xfId="0" applyFont="1" applyFill="1" applyBorder="1" applyNumberFormat="1">
      <alignment horizontal="right" vertical="center" wrapText="1"/>
      <protection locked="0"/>
    </xf>
    <xf numFmtId="4" fontId="22" fillId="0" borderId="14" xfId="0" applyFont="1" applyBorder="1" applyNumberFormat="1">
      <alignment horizontal="right" vertical="center" wrapText="1"/>
    </xf>
    <xf numFmtId="4" fontId="22" fillId="0" borderId="30" xfId="0" applyFont="1" applyBorder="1" applyNumberFormat="1">
      <alignment horizontal="right" vertical="center" wrapText="1"/>
    </xf>
    <xf numFmtId="0" fontId="35" fillId="0" borderId="0" xfId="0" applyFont="1">
      <alignment horizontal="center" vertical="center" wrapText="1"/>
    </xf>
    <xf numFmtId="0" fontId="22" fillId="0" borderId="14" xfId="0" applyFont="1" applyBorder="1">
      <alignment horizontal="center" vertical="center" wrapText="1"/>
    </xf>
    <xf numFmtId="3" fontId="22" fillId="39" borderId="14" xfId="0" applyFont="1" applyFill="1" applyBorder="1" applyNumberFormat="1">
      <alignment vertical="center" wrapText="1"/>
      <protection locked="0"/>
    </xf>
    <xf numFmtId="49" fontId="22" fillId="36" borderId="14" xfId="0" applyFont="1" applyFill="1" applyBorder="1" applyNumberFormat="1">
      <alignment horizontal="left" vertical="center" wrapText="1"/>
      <protection locked="0"/>
    </xf>
    <xf numFmtId="4" fontId="22" fillId="34" borderId="14" xfId="0" applyFont="1" applyFill="1" applyBorder="1" applyNumberFormat="1">
      <alignment horizontal="right" vertical="center" wrapText="1"/>
    </xf>
    <xf numFmtId="0" fontId="22" fillId="0" borderId="0" xfId="0" applyFont="1">
      <alignment horizontal="left" vertical="center" wrapText="1"/>
    </xf>
    <xf numFmtId="0" fontId="0" fillId="0" borderId="14" xfId="0" applyFont="1" applyBorder="1">
      <alignment horizontal="center" vertical="center"/>
    </xf>
    <xf numFmtId="49" fontId="0" fillId="0" borderId="12" xfId="0" applyFont="1" applyBorder="1" applyNumberFormat="1">
      <alignment horizontal="left" vertical="center" wrapText="1" indent="1"/>
    </xf>
    <xf numFmtId="0" fontId="22" fillId="0" borderId="13" xfId="0" applyFont="1" applyBorder="1">
      <alignment horizontal="center" vertical="center" wrapText="1"/>
    </xf>
    <xf numFmtId="49" fontId="0" fillId="0" borderId="14" xfId="0" applyFont="1" applyBorder="1" applyNumberFormat="1">
      <alignment horizontal="center" vertical="center"/>
    </xf>
    <xf numFmtId="49" fontId="0" fillId="0" borderId="12" xfId="0" applyFont="1" applyBorder="1" applyNumberFormat="1">
      <alignment vertical="center" wrapText="1"/>
    </xf>
    <xf numFmtId="0" fontId="22" fillId="37" borderId="19" xfId="0" applyFont="1" applyFill="1" applyBorder="1">
      <alignment vertical="center" wrapText="1"/>
    </xf>
    <xf numFmtId="0" fontId="22" fillId="0" borderId="15" xfId="0" applyFont="1" applyBorder="1">
      <alignment horizontal="center" vertical="center" wrapText="1"/>
    </xf>
    <xf numFmtId="0" fontId="22" fillId="37" borderId="27" xfId="0" applyFont="1" applyFill="1" applyBorder="1">
      <alignment vertical="center" wrapText="1"/>
    </xf>
    <xf numFmtId="49" fontId="22" fillId="39" borderId="14" xfId="0" applyFont="1" applyFill="1" applyBorder="1" applyNumberFormat="1">
      <alignment horizontal="left" vertical="center" wrapText="1"/>
      <protection locked="0"/>
    </xf>
    <xf numFmtId="49" fontId="0" fillId="36" borderId="12" xfId="0" applyFont="1" applyFill="1" applyBorder="1" applyNumberFormat="1">
      <alignment horizontal="left" vertical="center" wrapText="1"/>
      <protection locked="0"/>
    </xf>
    <xf numFmtId="0" fontId="45" fillId="0" borderId="0" xfId="0" applyFont="1">
      <alignment horizontal="left" vertical="center" wrapText="1" indent="1"/>
    </xf>
    <xf numFmtId="0" fontId="88" fillId="0" borderId="0" xfId="0" applyFont="1">
      <alignment vertical="center" wrapText="1"/>
    </xf>
    <xf numFmtId="0" fontId="88" fillId="35" borderId="0" xfId="0" applyFont="1" applyFill="1">
      <alignment horizontal="center" vertical="center" wrapText="1"/>
    </xf>
    <xf numFmtId="0" fontId="88" fillId="35" borderId="0" xfId="0" applyFont="1" applyFill="1">
      <alignment horizontal="right" vertical="center" wrapText="1"/>
    </xf>
    <xf numFmtId="0" fontId="22" fillId="0" borderId="12" xfId="0" applyFont="1" applyBorder="1">
      <alignment horizontal="center" vertical="center" wrapText="1"/>
    </xf>
    <xf numFmtId="49" fontId="46" fillId="0" borderId="0" xfId="0" applyFont="1" applyNumberFormat="1">
      <alignment horizontal="center" vertical="center" wrapText="1"/>
    </xf>
    <xf numFmtId="0" fontId="22" fillId="0" borderId="12" xfId="0" applyFont="1" applyBorder="1">
      <alignment horizontal="center" vertical="center" wrapText="1"/>
    </xf>
    <xf numFmtId="0" fontId="46" fillId="0" borderId="0" xfId="0" applyFont="1">
      <alignment horizontal="center" vertical="top"/>
    </xf>
    <xf numFmtId="0" fontId="22" fillId="0" borderId="12" xfId="0" applyFont="1" applyBorder="1">
      <alignment horizontal="left" vertical="center" wrapText="1"/>
    </xf>
    <xf numFmtId="0" fontId="47" fillId="0" borderId="0" xfId="0" applyFont="1">
      <alignment horizontal="center" vertical="center" wrapText="1"/>
    </xf>
    <xf numFmtId="0" fontId="22" fillId="0" borderId="12" xfId="0" applyFont="1" applyBorder="1">
      <alignment horizontal="left" vertical="center" wrapText="1"/>
    </xf>
    <xf numFmtId="49" fontId="22" fillId="40" borderId="12" xfId="0" applyFont="1" applyFill="1" applyBorder="1" applyNumberFormat="1">
      <alignment horizontal="left" vertical="center" wrapText="1" indent="1"/>
    </xf>
    <xf numFmtId="0" fontId="22" fillId="0" borderId="14" xfId="0" applyFont="1" applyBorder="1">
      <alignment vertical="center" wrapText="1"/>
    </xf>
    <xf numFmtId="0" fontId="22" fillId="0" borderId="0" xfId="0" applyFont="1">
      <alignment horizontal="right" vertical="center"/>
    </xf>
    <xf numFmtId="49" fontId="53" fillId="37" borderId="13" xfId="0" applyFont="1" applyFill="1" applyBorder="1" applyNumberFormat="1">
      <alignment horizontal="left" vertical="center" wrapText="1"/>
    </xf>
    <xf numFmtId="0" fontId="89" fillId="0" borderId="0" xfId="0" applyFont="1">
      <alignment vertical="center"/>
    </xf>
    <xf numFmtId="0" fontId="90" fillId="0" borderId="0" xfId="0" applyFont="1">
      <alignment vertical="center"/>
    </xf>
    <xf numFmtId="49" fontId="47" fillId="0" borderId="22" xfId="0" applyFont="1" applyBorder="1" applyNumberFormat="1">
      <alignment vertical="top"/>
    </xf>
    <xf numFmtId="49" fontId="47" fillId="0" borderId="22" xfId="0" applyFont="1" applyBorder="1" applyNumberFormat="1">
      <alignment vertical="top"/>
    </xf>
    <xf numFmtId="0" fontId="47" fillId="0" borderId="22" xfId="0" applyFont="1" applyBorder="1">
      <alignment vertical="center" wrapText="1"/>
    </xf>
    <xf numFmtId="0" fontId="22" fillId="0" borderId="13" xfId="0" applyFont="1" applyBorder="1">
      <alignment horizontal="left" vertical="center" wrapText="1" indent="1"/>
    </xf>
    <xf numFmtId="0" fontId="71" fillId="0" borderId="22" xfId="0" applyFont="1" applyBorder="1">
      <alignment vertical="center" wrapText="1"/>
    </xf>
    <xf numFmtId="4" fontId="22" fillId="0" borderId="31" xfId="0" applyFont="1" applyBorder="1" applyNumberFormat="1">
      <alignment horizontal="center" vertical="center" wrapText="1"/>
    </xf>
    <xf numFmtId="0" fontId="22" fillId="0" borderId="33" xfId="0" applyFont="1" applyBorder="1">
      <alignment horizontal="left" vertical="center" wrapText="1"/>
    </xf>
    <xf numFmtId="0" fontId="22" fillId="0" borderId="33" xfId="0" applyFont="1" applyBorder="1">
      <alignment horizontal="left" vertical="center" wrapText="1" indent="1"/>
    </xf>
    <xf numFmtId="4" fontId="22" fillId="39" borderId="33" xfId="0" applyFont="1" applyFill="1" applyBorder="1" applyNumberFormat="1">
      <alignment horizontal="right" vertical="center" wrapText="1"/>
      <protection locked="0"/>
    </xf>
    <xf numFmtId="4" fontId="22" fillId="0" borderId="33" xfId="0" applyFont="1" applyBorder="1" applyNumberFormat="1">
      <alignment horizontal="center" vertical="center" wrapText="1"/>
    </xf>
    <xf numFmtId="49" fontId="22" fillId="0" borderId="34" xfId="0" applyFont="1" applyBorder="1" applyNumberFormat="1">
      <alignment horizontal="center" vertical="center" wrapText="1"/>
    </xf>
    <xf numFmtId="4" fontId="22" fillId="39" borderId="14" xfId="0" applyFont="1" applyFill="1" applyBorder="1" applyNumberFormat="1">
      <alignment horizontal="right" vertical="center" wrapText="1"/>
      <protection locked="0"/>
    </xf>
    <xf numFmtId="4" fontId="22" fillId="39" borderId="34" xfId="0" applyFont="1" applyFill="1" applyBorder="1" applyNumberFormat="1">
      <alignment horizontal="right" vertical="center" wrapText="1"/>
      <protection locked="0"/>
    </xf>
    <xf numFmtId="0" fontId="46" fillId="0" borderId="0" xfId="0" applyFont="1">
      <alignment horizontal="left" vertical="center" wrapText="1"/>
    </xf>
    <xf numFmtId="0" fontId="47" fillId="0" borderId="0" xfId="0" applyFont="1">
      <alignment horizontal="left" vertical="center" wrapText="1"/>
    </xf>
    <xf numFmtId="0" fontId="54" fillId="0" borderId="0" xfId="0" applyFont="1">
      <alignment horizontal="left" vertical="center" wrapText="1"/>
    </xf>
    <xf numFmtId="0" fontId="31" fillId="0" borderId="0" xfId="0" applyFont="1">
      <alignment horizontal="left" vertical="center" wrapText="1"/>
    </xf>
    <xf numFmtId="49" fontId="22" fillId="0" borderId="0" xfId="0" applyFont="1" applyNumberFormat="1">
      <alignment horizontal="center" vertical="center" wrapText="1"/>
    </xf>
    <xf numFmtId="0" fontId="84" fillId="0" borderId="0" xfId="0" applyFont="1">
      <alignment vertical="center" wrapText="1"/>
    </xf>
    <xf numFmtId="0" fontId="47" fillId="0" borderId="0" xfId="0" applyFont="1">
      <alignment vertical="center" wrapText="1"/>
    </xf>
    <xf numFmtId="0" fontId="54" fillId="0" borderId="0" xfId="0" applyFont="1">
      <alignment vertical="center" wrapText="1"/>
    </xf>
    <xf numFmtId="0" fontId="31" fillId="0" borderId="0" xfId="0" applyFont="1">
      <alignment vertical="center" wrapText="1"/>
    </xf>
    <xf numFmtId="49" fontId="49" fillId="0" borderId="0" xfId="0" applyFont="1" applyNumberFormat="1">
      <alignment horizontal="center" vertical="center"/>
    </xf>
    <xf numFmtId="0" fontId="22" fillId="0" borderId="0" xfId="0" applyFont="1">
      <alignment vertical="center" wrapText="1"/>
    </xf>
    <xf numFmtId="4" fontId="22" fillId="0" borderId="35" xfId="0" applyFont="1" applyBorder="1" applyNumberFormat="1">
      <alignment horizontal="center" vertical="center" wrapText="1"/>
    </xf>
    <xf numFmtId="4" fontId="22" fillId="39" borderId="35" xfId="0" applyFont="1" applyFill="1" applyBorder="1" applyNumberFormat="1">
      <alignment horizontal="right" vertical="center" wrapText="1"/>
      <protection locked="0"/>
    </xf>
    <xf numFmtId="4" fontId="22" fillId="39" borderId="23" xfId="0" applyFont="1" applyFill="1" applyBorder="1" applyNumberFormat="1">
      <alignment horizontal="right" vertical="center" wrapText="1"/>
      <protection locked="0"/>
    </xf>
    <xf numFmtId="49" fontId="22" fillId="0" borderId="33" xfId="0" applyFont="1" applyBorder="1" applyNumberFormat="1">
      <alignment horizontal="center" vertical="center" wrapText="1"/>
    </xf>
    <xf numFmtId="0" fontId="22" fillId="0" borderId="35" xfId="0" applyFont="1" applyBorder="1">
      <alignment horizontal="left" vertical="center" wrapText="1"/>
    </xf>
    <xf numFmtId="0" fontId="22" fillId="0" borderId="20" xfId="0" applyFont="1" applyBorder="1">
      <alignment vertical="center" wrapText="1"/>
    </xf>
    <xf numFmtId="0" fontId="36" fillId="0" borderId="0" xfId="0" applyFont="1">
      <alignment horizontal="center" vertical="center" wrapText="1"/>
    </xf>
    <xf numFmtId="0" fontId="22" fillId="37" borderId="15" xfId="0" applyFont="1" applyFill="1" applyBorder="1">
      <alignment vertical="center" wrapText="1"/>
    </xf>
    <xf numFmtId="0" fontId="46" fillId="37" borderId="13" xfId="0" applyFont="1" applyFill="1" applyBorder="1">
      <alignment vertical="center" wrapText="1"/>
    </xf>
    <xf numFmtId="200" fontId="22" fillId="34" borderId="12" xfId="0" applyFont="1" applyFill="1" applyBorder="1" applyNumberFormat="1">
      <alignment horizontal="right" vertical="center" wrapText="1"/>
    </xf>
    <xf numFmtId="0" fontId="0" fillId="0" borderId="0" xfId="0" applyFont="1">
      <alignment vertical="center"/>
    </xf>
    <xf numFmtId="4" fontId="22" fillId="36" borderId="12" xfId="0" applyFont="1" applyFill="1" applyBorder="1" applyNumberFormat="1">
      <alignment horizontal="right" vertical="center" wrapText="1"/>
      <protection locked="0"/>
    </xf>
    <xf numFmtId="0" fontId="73" fillId="35" borderId="0" xfId="0" applyFont="1" applyFill="1">
      <alignment horizontal="right" vertical="center"/>
    </xf>
    <xf numFmtId="49" fontId="0" fillId="0" borderId="12" xfId="0" applyFont="1" applyBorder="1" applyNumberFormat="1">
      <alignment vertical="top"/>
    </xf>
    <xf numFmtId="0" fontId="22" fillId="0" borderId="14" xfId="0" applyFont="1" applyBorder="1">
      <alignment horizontal="center" vertical="center" wrapText="1"/>
    </xf>
    <xf numFmtId="49" fontId="0" fillId="16" borderId="12" xfId="0" applyFont="1" applyFill="1" applyBorder="1" applyNumberFormat="1">
      <alignment vertical="top"/>
    </xf>
    <xf numFmtId="49" fontId="0" fillId="16" borderId="17" xfId="0" applyFont="1" applyFill="1" applyBorder="1" applyNumberFormat="1">
      <alignment vertical="top"/>
    </xf>
    <xf numFmtId="49" fontId="0" fillId="43" borderId="17" xfId="0" applyFont="1" applyFill="1" applyBorder="1" applyNumberFormat="1">
      <alignment vertical="top"/>
    </xf>
    <xf numFmtId="0" fontId="22" fillId="0" borderId="0" xfId="0" applyFont="1">
      <alignment vertical="center" wrapText="1"/>
    </xf>
    <xf numFmtId="0" fontId="31" fillId="0" borderId="0" xfId="0" applyFont="1">
      <alignment vertical="center" wrapText="1"/>
    </xf>
    <xf numFmtId="0" fontId="22" fillId="0" borderId="12" xfId="0" applyFont="1" applyBorder="1">
      <alignment horizontal="center" vertical="center" wrapText="1"/>
    </xf>
    <xf numFmtId="0" fontId="22" fillId="0" borderId="12" xfId="0" applyFont="1" applyBorder="1">
      <alignment horizontal="center" vertical="center" wrapText="1"/>
    </xf>
    <xf numFmtId="49" fontId="22" fillId="0" borderId="0" xfId="0" applyFont="1" applyNumberFormat="1">
      <alignment vertical="center" wrapText="1"/>
    </xf>
    <xf numFmtId="0" fontId="22" fillId="0" borderId="0" xfId="0" applyFont="1">
      <alignment horizontal="center" vertical="center" wrapText="1"/>
    </xf>
    <xf numFmtId="49" fontId="0" fillId="0" borderId="14" xfId="0" applyFont="1" applyBorder="1" applyNumberFormat="1">
      <alignment vertical="top"/>
    </xf>
    <xf numFmtId="49" fontId="0" fillId="0" borderId="14" xfId="0" applyFont="1" applyBorder="1" applyNumberFormat="1">
      <alignment horizontal="center" vertical="top"/>
    </xf>
    <xf numFmtId="49" fontId="0" fillId="0" borderId="15" xfId="0" applyFont="1" applyBorder="1" applyNumberFormat="1">
      <alignment horizontal="center" vertical="top"/>
    </xf>
    <xf numFmtId="49" fontId="0" fillId="5" borderId="12" xfId="0" applyFont="1" applyFill="1" applyBorder="1" applyNumberFormat="1">
      <alignment vertical="top"/>
    </xf>
    <xf numFmtId="49" fontId="0" fillId="44" borderId="12" xfId="0" applyFont="1" applyFill="1" applyBorder="1" applyNumberFormat="1">
      <alignment vertical="top"/>
    </xf>
    <xf numFmtId="49" fontId="0" fillId="3" borderId="12" xfId="0" applyFont="1" applyFill="1" applyBorder="1" applyNumberFormat="1">
      <alignment vertical="top"/>
    </xf>
    <xf numFmtId="49" fontId="0" fillId="0" borderId="0" xfId="0" applyFont="1" applyNumberFormat="1">
      <alignment vertical="top"/>
    </xf>
    <xf numFmtId="0" fontId="22" fillId="0" borderId="0" xfId="0" applyFont="1">
      <alignment horizontal="center" vertical="center" wrapText="1"/>
    </xf>
    <xf numFmtId="0" fontId="49" fillId="35" borderId="0" xfId="0" applyFont="1" applyFill="1">
      <alignment vertical="center" wrapText="1"/>
    </xf>
    <xf numFmtId="0" fontId="53" fillId="0" borderId="0" xfId="0" applyFont="1">
      <alignment horizontal="left" vertical="center" indent="1"/>
    </xf>
    <xf numFmtId="0" fontId="0" fillId="35" borderId="0" xfId="0" applyFont="1" applyFill="1">
      <alignment horizontal="right" vertical="center" wrapText="1" indent="1"/>
    </xf>
    <xf numFmtId="0" fontId="0" fillId="35" borderId="0" xfId="0" applyFont="1" applyFill="1">
      <alignment horizontal="left" vertical="center" wrapText="1" indent="1"/>
    </xf>
    <xf numFmtId="14" fontId="22" fillId="35" borderId="0" xfId="0" applyFont="1" applyFill="1" applyNumberFormat="1">
      <alignment horizontal="center" vertical="center" wrapText="1"/>
    </xf>
    <xf numFmtId="202" fontId="22" fillId="0" borderId="14" xfId="0" applyFont="1" applyBorder="1" applyNumberFormat="1">
      <alignment horizontal="center" vertical="center" wrapText="1"/>
    </xf>
    <xf numFmtId="49" fontId="35" fillId="0" borderId="15" xfId="0" applyFont="1" applyBorder="1" applyNumberFormat="1">
      <alignment horizontal="center" vertical="center" wrapText="1"/>
    </xf>
    <xf numFmtId="49" fontId="22" fillId="0" borderId="0" xfId="0" applyFont="1" applyNumberFormat="1">
      <alignment horizontal="center" vertical="center" wrapText="1"/>
    </xf>
    <xf numFmtId="0" fontId="22" fillId="0" borderId="23" xfId="0" applyFont="1" applyBorder="1">
      <alignment horizontal="center" vertical="center" wrapText="1"/>
    </xf>
    <xf numFmtId="49" fontId="0" fillId="45" borderId="12" xfId="0" applyFont="1" applyFill="1" applyBorder="1" applyNumberFormat="1">
      <alignment vertical="top"/>
    </xf>
    <xf numFmtId="0" fontId="36" fillId="0" borderId="0" xfId="0" applyFont="1">
      <alignment horizontal="center" vertical="center" wrapText="1"/>
    </xf>
    <xf numFmtId="0" fontId="91" fillId="0" borderId="0" xfId="0" applyFont="1">
      <alignment horizontal="left" vertical="center" wrapText="1"/>
    </xf>
    <xf numFmtId="0" fontId="91" fillId="0" borderId="0" xfId="0" applyFont="1">
      <alignment horizontal="left" vertical="center" wrapText="1"/>
    </xf>
    <xf numFmtId="14" fontId="91" fillId="35" borderId="0" xfId="0" applyFont="1" applyFill="1" applyNumberFormat="1">
      <alignment horizontal="left" vertical="center" wrapText="1"/>
    </xf>
    <xf numFmtId="14" fontId="92" fillId="0" borderId="0" xfId="0" applyFont="1" applyNumberFormat="1">
      <alignment horizontal="center" vertical="center" wrapText="1"/>
    </xf>
    <xf numFmtId="0" fontId="91" fillId="0" borderId="0" xfId="0" applyFont="1">
      <alignment horizontal="left" vertical="center" wrapText="1"/>
    </xf>
    <xf numFmtId="14" fontId="93" fillId="0" borderId="12" xfId="0" applyFont="1" applyBorder="1" applyNumberFormat="1">
      <alignment horizontal="left" vertical="center" wrapText="1"/>
    </xf>
    <xf numFmtId="0" fontId="47" fillId="0" borderId="0" xfId="0" applyFont="1">
      <alignment vertical="center"/>
    </xf>
    <xf numFmtId="49" fontId="22" fillId="37" borderId="19" xfId="0" applyFont="1" applyFill="1" applyBorder="1" applyNumberFormat="1">
      <alignment horizontal="center" vertical="center" wrapText="1"/>
    </xf>
    <xf numFmtId="49" fontId="22" fillId="34" borderId="23" xfId="0" applyFont="1" applyFill="1" applyBorder="1" applyNumberFormat="1">
      <alignment horizontal="center" vertical="center" wrapText="1"/>
    </xf>
    <xf numFmtId="49" fontId="46" fillId="0" borderId="12" xfId="0" applyFont="1" applyBorder="1" applyNumberFormat="1">
      <alignment horizontal="left" vertical="center" wrapText="1"/>
    </xf>
    <xf numFmtId="14" fontId="22" fillId="40" borderId="23" xfId="0" applyFont="1" applyFill="1" applyBorder="1" applyNumberFormat="1">
      <alignment horizontal="left" vertical="center" wrapText="1" indent="1"/>
    </xf>
    <xf numFmtId="49" fontId="22" fillId="37" borderId="14" xfId="0" applyFont="1" applyFill="1" applyBorder="1" applyNumberFormat="1">
      <alignment horizontal="right" vertical="center" wrapText="1"/>
    </xf>
    <xf numFmtId="0" fontId="47" fillId="0" borderId="23" xfId="0" applyFont="1" applyBorder="1">
      <alignment horizontal="center" vertical="center" wrapText="1"/>
    </xf>
    <xf numFmtId="49" fontId="22" fillId="0" borderId="13" xfId="0" applyFont="1" applyBorder="1" applyNumberFormat="1">
      <alignment horizontal="center" vertical="top"/>
    </xf>
    <xf numFmtId="49" fontId="22" fillId="0" borderId="12" xfId="0" applyFont="1" applyBorder="1" applyNumberFormat="1">
      <alignment horizontal="center" vertical="top"/>
    </xf>
    <xf numFmtId="0" fontId="22" fillId="0" borderId="23" xfId="0" applyFont="1" applyBorder="1">
      <alignment horizontal="center" vertical="center" wrapText="1"/>
    </xf>
    <xf numFmtId="49" fontId="22" fillId="0" borderId="14" xfId="0" applyFont="1" applyBorder="1" applyNumberFormat="1">
      <alignment horizontal="center" vertical="top"/>
    </xf>
    <xf numFmtId="0" fontId="35" fillId="0" borderId="24" xfId="0" applyFont="1" applyBorder="1">
      <alignment vertical="top" wrapText="1"/>
    </xf>
    <xf numFmtId="0" fontId="35" fillId="0" borderId="0" xfId="0" applyFont="1">
      <alignment vertical="top" wrapText="1"/>
    </xf>
    <xf numFmtId="0" fontId="47" fillId="0" borderId="12" xfId="0" applyFont="1" applyBorder="1">
      <alignment horizontal="center" vertical="center" wrapText="1"/>
    </xf>
    <xf numFmtId="0" fontId="46" fillId="0" borderId="23" xfId="0" applyFont="1" applyBorder="1">
      <alignment horizontal="center" vertical="center" wrapText="1"/>
    </xf>
    <xf numFmtId="0" fontId="47" fillId="0" borderId="12" xfId="0" applyFont="1" applyBorder="1">
      <alignment horizontal="center" vertical="center"/>
    </xf>
    <xf numFmtId="0" fontId="22" fillId="0" borderId="12" xfId="0" applyFont="1" applyBorder="1">
      <alignment horizontal="center" vertical="center" wrapText="1"/>
    </xf>
    <xf numFmtId="49" fontId="22" fillId="0" borderId="0" xfId="0" applyFont="1" applyNumberFormat="1">
      <alignment horizontal="center" vertical="center" wrapText="1"/>
    </xf>
    <xf numFmtId="0" fontId="22" fillId="0" borderId="12" xfId="0" applyFont="1" applyBorder="1">
      <alignment horizontal="center" vertical="center" wrapText="1"/>
    </xf>
    <xf numFmtId="0" fontId="22" fillId="0" borderId="14" xfId="0" applyFont="1" applyBorder="1">
      <alignment horizontal="center" vertical="center" wrapText="1"/>
    </xf>
    <xf numFmtId="0" fontId="22" fillId="0" borderId="12" xfId="0" applyFont="1" applyBorder="1">
      <alignment horizontal="center" vertical="center" wrapText="1"/>
    </xf>
    <xf numFmtId="0" fontId="22" fillId="0" borderId="17" xfId="0" applyFont="1" applyBorder="1">
      <alignment horizontal="center" vertical="center" wrapText="1"/>
    </xf>
    <xf numFmtId="49" fontId="75" fillId="39" borderId="12" xfId="0" applyFont="1" applyFill="1" applyBorder="1" applyNumberFormat="1">
      <alignment horizontal="left" vertical="center" wrapText="1" indent="1"/>
      <protection locked="0"/>
    </xf>
    <xf numFmtId="0" fontId="46" fillId="0" borderId="22" xfId="0" applyFont="1" applyBorder="1">
      <alignment vertical="center"/>
    </xf>
    <xf numFmtId="0" fontId="22" fillId="0" borderId="13" xfId="0" applyFont="1" applyBorder="1">
      <alignment horizontal="center" vertical="center" wrapText="1"/>
    </xf>
    <xf numFmtId="49" fontId="22" fillId="40" borderId="12" xfId="0" applyFont="1" applyFill="1" applyBorder="1" applyNumberFormat="1">
      <alignment horizontal="center" vertical="center" wrapText="1"/>
    </xf>
    <xf numFmtId="0" fontId="22" fillId="0" borderId="12" xfId="0" applyFont="1" applyBorder="1">
      <alignment horizontal="center" vertical="center" wrapText="1"/>
    </xf>
    <xf numFmtId="0" fontId="22" fillId="34" borderId="14" xfId="0" applyFont="1" applyFill="1" applyBorder="1">
      <alignment horizontal="left" vertical="top" wrapText="1" indent="1"/>
    </xf>
    <xf numFmtId="3" fontId="22" fillId="36" borderId="14" xfId="0" applyFont="1" applyFill="1" applyBorder="1" applyNumberFormat="1">
      <alignment horizontal="right" vertical="center" wrapText="1"/>
      <protection locked="0"/>
    </xf>
    <xf numFmtId="49" fontId="53" fillId="36" borderId="12" xfId="0" applyFont="1" applyFill="1" applyBorder="1" applyNumberFormat="1">
      <alignment horizontal="left" vertical="center" wrapText="1"/>
      <protection locked="0"/>
    </xf>
    <xf numFmtId="0" fontId="53" fillId="0" borderId="0" xfId="0" applyFont="1">
      <alignment vertical="center" wrapText="1"/>
    </xf>
    <xf numFmtId="0" fontId="22" fillId="0" borderId="13" xfId="0" applyFont="1" applyBorder="1">
      <alignment horizontal="center" vertical="center" wrapText="1"/>
    </xf>
    <xf numFmtId="0" fontId="22" fillId="0" borderId="12" xfId="0" applyFont="1" applyBorder="1">
      <alignment horizontal="center" vertical="center" wrapText="1"/>
    </xf>
    <xf numFmtId="0" fontId="36" fillId="35" borderId="0" xfId="0" applyFont="1" applyFill="1">
      <alignment horizontal="center" vertical="center" wrapText="1"/>
    </xf>
    <xf numFmtId="0" fontId="22" fillId="35" borderId="12" xfId="0" applyFont="1" applyFill="1" applyBorder="1">
      <alignment horizontal="center" vertical="center" wrapText="1"/>
    </xf>
    <xf numFmtId="0" fontId="0" fillId="0" borderId="20" xfId="0" applyFont="1" applyBorder="1">
      <alignment horizontal="center" vertical="center" wrapText="1"/>
    </xf>
    <xf numFmtId="0" fontId="0" fillId="0" borderId="29" xfId="0" applyFont="1" applyBorder="1">
      <alignment horizontal="center" vertical="center" wrapText="1"/>
    </xf>
    <xf numFmtId="0" fontId="0" fillId="0" borderId="17" xfId="0" applyFont="1" applyBorder="1">
      <alignment horizontal="center" vertical="center" wrapText="1"/>
    </xf>
    <xf numFmtId="0" fontId="0" fillId="0" borderId="23" xfId="0" applyFont="1" applyBorder="1">
      <alignment horizontal="center" vertical="center" wrapText="1"/>
    </xf>
    <xf numFmtId="0" fontId="0" fillId="0" borderId="17" xfId="0" applyFont="1" applyBorder="1">
      <alignment horizontal="center" vertical="center" wrapText="1"/>
    </xf>
    <xf numFmtId="0" fontId="0" fillId="0" borderId="23" xfId="0" applyFont="1" applyBorder="1">
      <alignment horizontal="center" vertical="center" wrapText="1"/>
    </xf>
    <xf numFmtId="49" fontId="35" fillId="35" borderId="15" xfId="0" applyFont="1" applyFill="1" applyBorder="1" applyNumberFormat="1">
      <alignment horizontal="center" vertical="center" wrapText="1"/>
    </xf>
    <xf numFmtId="0" fontId="22" fillId="0" borderId="0" xfId="0" applyFont="1">
      <alignment horizontal="left" vertical="center" wrapText="1" indent="1"/>
    </xf>
    <xf numFmtId="0" fontId="81" fillId="0" borderId="17" xfId="0" applyFont="1" applyBorder="1">
      <alignment horizontal="center" vertical="center" wrapText="1"/>
    </xf>
    <xf numFmtId="49" fontId="46" fillId="0" borderId="0" xfId="0" applyFont="1" applyNumberFormat="1">
      <alignment vertical="top"/>
    </xf>
    <xf numFmtId="0" fontId="94" fillId="0" borderId="0" xfId="0" applyFont="1">
      <alignment vertical="center" wrapText="1"/>
    </xf>
    <xf numFmtId="0" fontId="0" fillId="0" borderId="0" xfId="0" applyFont="1">
      <alignment vertical="top"/>
    </xf>
    <xf numFmtId="49" fontId="0" fillId="0" borderId="12" xfId="0" applyFont="1" applyBorder="1" applyNumberFormat="1">
      <alignment vertical="top"/>
    </xf>
    <xf numFmtId="49" fontId="22" fillId="0" borderId="0" xfId="0" applyFont="1" applyNumberFormat="1">
      <alignment vertical="top"/>
    </xf>
    <xf numFmtId="0" fontId="22" fillId="0" borderId="12" xfId="0" applyFont="1" applyBorder="1">
      <alignment horizontal="left" vertical="top" wrapText="1"/>
    </xf>
    <xf numFmtId="49" fontId="95" fillId="0" borderId="0" xfId="0" applyFont="1" applyNumberFormat="1">
      <alignment horizontal="center" vertical="top" wrapText="1"/>
    </xf>
    <xf numFmtId="49" fontId="95" fillId="0" borderId="0" xfId="0" applyFont="1" applyNumberFormat="1">
      <alignment vertical="top" wrapText="1"/>
    </xf>
    <xf numFmtId="49" fontId="91" fillId="41" borderId="12" xfId="0" applyFont="1" applyFill="1" applyBorder="1" applyNumberFormat="1">
      <alignment horizontal="center" vertical="top" wrapText="1"/>
    </xf>
    <xf numFmtId="49" fontId="95" fillId="0" borderId="0" xfId="0" applyFont="1" applyNumberFormat="1">
      <alignment horizontal="left" vertical="top" wrapText="1"/>
    </xf>
    <xf numFmtId="49" fontId="95" fillId="0" borderId="12" xfId="0" applyFont="1" applyBorder="1" applyNumberFormat="1">
      <alignment horizontal="left" vertical="top" wrapText="1"/>
    </xf>
    <xf numFmtId="0" fontId="95" fillId="0" borderId="12" xfId="0" applyFont="1" applyBorder="1">
      <alignment horizontal="left" vertical="top" wrapText="1"/>
    </xf>
    <xf numFmtId="0" fontId="95" fillId="41" borderId="12" xfId="0" applyFont="1" applyFill="1" applyBorder="1">
      <alignment horizontal="right" vertical="center" wrapText="1"/>
    </xf>
    <xf numFmtId="49" fontId="95" fillId="0" borderId="12" xfId="0" applyFont="1" applyBorder="1" applyNumberFormat="1">
      <alignment vertical="top" wrapText="1"/>
    </xf>
    <xf numFmtId="0" fontId="95" fillId="0" borderId="17" xfId="0" applyFont="1" applyBorder="1">
      <alignment horizontal="left" vertical="top" wrapText="1"/>
    </xf>
    <xf numFmtId="0" fontId="95" fillId="0" borderId="13" xfId="0" applyFont="1" applyBorder="1">
      <alignment horizontal="left" vertical="top" wrapText="1"/>
    </xf>
    <xf numFmtId="0" fontId="95" fillId="0" borderId="12" xfId="0" applyFont="1" applyBorder="1">
      <alignment vertical="top" wrapText="1"/>
    </xf>
    <xf numFmtId="0" fontId="91" fillId="41" borderId="12" xfId="0" applyFont="1" applyFill="1" applyBorder="1">
      <alignment horizontal="center" vertical="top" wrapText="1"/>
    </xf>
    <xf numFmtId="0" fontId="95" fillId="0" borderId="0" xfId="0" applyFont="1">
      <alignment vertical="top" wrapText="1"/>
    </xf>
    <xf numFmtId="0" fontId="90" fillId="0" borderId="0" xfId="0" applyFont="1">
      <alignment vertical="center" wrapText="1"/>
    </xf>
    <xf numFmtId="0" fontId="45" fillId="0" borderId="0" xfId="0" applyFont="1">
      <alignment horizontal="left" vertical="center" wrapText="1" indent="3"/>
    </xf>
    <xf numFmtId="3" fontId="0" fillId="0" borderId="13" xfId="0" applyFont="1" applyBorder="1" applyNumberFormat="1">
      <alignment horizontal="right" vertical="center" wrapText="1"/>
    </xf>
    <xf numFmtId="0" fontId="22" fillId="40" borderId="14" xfId="0" applyFont="1" applyFill="1" applyBorder="1">
      <alignment horizontal="left" vertical="center" wrapText="1"/>
    </xf>
    <xf numFmtId="49" fontId="35" fillId="35" borderId="12" xfId="0" applyFont="1" applyFill="1" applyBorder="1" applyNumberFormat="1">
      <alignment horizontal="center" vertical="center" wrapText="1"/>
    </xf>
    <xf numFmtId="49" fontId="73" fillId="37" borderId="13" xfId="0" applyFont="1" applyFill="1" applyBorder="1" applyNumberFormat="1">
      <alignment vertical="center"/>
    </xf>
    <xf numFmtId="49" fontId="22" fillId="35" borderId="0" xfId="0" applyFont="1" applyFill="1" applyNumberFormat="1">
      <alignment horizontal="center" vertical="center" wrapText="1"/>
    </xf>
    <xf numFmtId="0" fontId="22" fillId="35" borderId="0" xfId="0" applyFont="1" applyFill="1">
      <alignment horizontal="center" vertical="top" wrapText="1"/>
    </xf>
    <xf numFmtId="49" fontId="0" fillId="39" borderId="12" xfId="0" applyFont="1" applyFill="1" applyBorder="1" applyNumberFormat="1">
      <alignment horizontal="left" vertical="center" wrapText="1" indent="1"/>
      <protection locked="0"/>
    </xf>
    <xf numFmtId="49" fontId="22" fillId="39" borderId="14" xfId="0" applyFont="1" applyFill="1" applyBorder="1" applyNumberFormat="1">
      <alignment horizontal="left" vertical="center" wrapText="1"/>
      <protection locked="0"/>
    </xf>
    <xf numFmtId="49" fontId="22" fillId="39" borderId="12" xfId="0" applyFont="1" applyFill="1" applyBorder="1" applyNumberFormat="1" quotePrefix="1">
      <alignment horizontal="left" vertical="center" wrapText="1"/>
      <protection locked="0"/>
    </xf>
    <xf numFmtId="14" fontId="22" fillId="40" borderId="23" xfId="0" applyFont="1" applyFill="1" applyBorder="1" applyNumberFormat="1">
      <alignment horizontal="left" vertical="center" wrapText="1"/>
    </xf>
    <xf numFmtId="0" fontId="47" fillId="35" borderId="23" xfId="0" applyFont="1" applyFill="1" applyBorder="1">
      <alignment horizontal="center" vertical="center" wrapText="1"/>
    </xf>
    <xf numFmtId="0" fontId="36" fillId="35" borderId="24" xfId="0" applyFont="1" applyFill="1" applyBorder="1">
      <alignment vertical="top" wrapText="1"/>
    </xf>
    <xf numFmtId="0" fontId="36" fillId="35" borderId="0" xfId="0" applyFont="1" applyFill="1">
      <alignment vertical="top" wrapText="1"/>
    </xf>
    <xf numFmtId="14" fontId="22" fillId="40" borderId="29" xfId="0" applyFont="1" applyFill="1" applyBorder="1" applyNumberFormat="1">
      <alignment horizontal="left" vertical="center" wrapText="1"/>
    </xf>
    <xf numFmtId="0" fontId="47" fillId="35" borderId="12" xfId="0" applyFont="1" applyFill="1" applyBorder="1">
      <alignment horizontal="center" vertical="center" wrapText="1"/>
    </xf>
    <xf numFmtId="0" fontId="39" fillId="37" borderId="15" xfId="0" applyFont="1" applyFill="1" applyBorder="1">
      <alignment vertical="center"/>
    </xf>
    <xf numFmtId="0" fontId="48" fillId="0" borderId="0" xfId="0" applyFont="1">
      <alignment vertical="center"/>
    </xf>
    <xf numFmtId="0" fontId="47" fillId="0" borderId="0" xfId="0" applyFont="1">
      <alignment vertical="center" wrapText="1"/>
    </xf>
    <xf numFmtId="49" fontId="46" fillId="0" borderId="0" xfId="0" applyFont="1" applyNumberFormat="1">
      <alignment vertical="center" wrapText="1"/>
    </xf>
    <xf numFmtId="49" fontId="46" fillId="0" borderId="0" xfId="0" applyFont="1" applyNumberFormat="1">
      <alignment vertical="top"/>
    </xf>
    <xf numFmtId="0" fontId="88" fillId="0" borderId="0" xfId="0" applyFont="1">
      <alignment vertical="center" wrapText="1"/>
    </xf>
    <xf numFmtId="0" fontId="96" fillId="0" borderId="0" xfId="0" applyFont="1">
      <alignment vertical="center" wrapText="1"/>
    </xf>
    <xf numFmtId="0" fontId="46" fillId="0" borderId="0" xfId="0" applyFont="1">
      <alignment vertical="center" wrapText="1"/>
    </xf>
    <xf numFmtId="0" fontId="88" fillId="0" borderId="0" xfId="0" applyFont="1">
      <alignment horizontal="center" vertical="center" wrapText="1"/>
    </xf>
    <xf numFmtId="0" fontId="46" fillId="0" borderId="0" xfId="0" applyFont="1">
      <alignment vertical="center" wrapText="1"/>
    </xf>
    <xf numFmtId="14" fontId="22" fillId="35" borderId="0" xfId="0" applyFont="1" applyFill="1" applyNumberFormat="1">
      <alignment horizontal="left" vertical="center" wrapText="1"/>
    </xf>
    <xf numFmtId="49" fontId="0" fillId="5" borderId="14" xfId="0" applyFont="1" applyFill="1" applyBorder="1" applyNumberFormat="1">
      <alignment vertical="top"/>
    </xf>
    <xf numFmtId="49" fontId="0" fillId="0" borderId="12" xfId="0" applyFont="1" applyBorder="1" applyNumberFormat="1">
      <alignment horizontal="left" vertical="center" wrapText="1"/>
    </xf>
    <xf numFmtId="49" fontId="22" fillId="0" borderId="0" xfId="0" applyFont="1" applyNumberFormat="1">
      <alignment vertical="center" wrapText="1"/>
    </xf>
    <xf numFmtId="0" fontId="0" fillId="0" borderId="12" xfId="0" applyFont="1" applyBorder="1">
      <alignment horizontal="left" vertical="center" wrapText="1" indent="1"/>
    </xf>
    <xf numFmtId="49" fontId="0" fillId="35" borderId="12" xfId="0" applyFont="1" applyFill="1" applyBorder="1" applyNumberFormat="1">
      <alignment horizontal="center" vertical="center" wrapText="1"/>
    </xf>
    <xf numFmtId="0" fontId="0" fillId="35" borderId="12" xfId="0" applyFont="1" applyFill="1" applyBorder="1">
      <alignment horizontal="center" vertical="center" wrapText="1"/>
    </xf>
    <xf numFmtId="0" fontId="0" fillId="39" borderId="14" xfId="0" applyFont="1" applyFill="1" applyBorder="1">
      <alignment horizontal="left" vertical="center" wrapText="1" indent="2"/>
      <protection locked="0"/>
    </xf>
    <xf numFmtId="0" fontId="22" fillId="0" borderId="15" xfId="0" applyFont="1" applyBorder="1">
      <alignment horizontal="right" vertical="center" wrapText="1" indent="1"/>
    </xf>
    <xf numFmtId="0" fontId="22" fillId="0" borderId="13" xfId="0" applyFont="1" applyBorder="1">
      <alignment horizontal="right" vertical="center" wrapText="1" indent="1"/>
    </xf>
    <xf numFmtId="0" fontId="97" fillId="35" borderId="0" xfId="0" applyFont="1" applyFill="1">
      <alignment horizontal="right" vertical="center"/>
    </xf>
    <xf numFmtId="49" fontId="95" fillId="0" borderId="13" xfId="0" applyFont="1" applyBorder="1" applyNumberFormat="1">
      <alignment horizontal="left" vertical="top" wrapText="1"/>
    </xf>
    <xf numFmtId="49" fontId="95" fillId="0" borderId="14" xfId="0" applyFont="1" applyBorder="1" applyNumberFormat="1">
      <alignment horizontal="left" vertical="top" wrapText="1"/>
    </xf>
    <xf numFmtId="0" fontId="95" fillId="0" borderId="17" xfId="0" applyFont="1" applyBorder="1">
      <alignment vertical="top" wrapText="1"/>
    </xf>
    <xf numFmtId="0" fontId="95" fillId="0" borderId="36" xfId="0" applyFont="1" applyBorder="1">
      <alignment horizontal="left" vertical="top" wrapText="1"/>
    </xf>
    <xf numFmtId="49" fontId="95" fillId="0" borderId="30" xfId="0" applyFont="1" applyBorder="1" applyNumberFormat="1">
      <alignment horizontal="left" vertical="top" wrapText="1"/>
    </xf>
    <xf numFmtId="49" fontId="46" fillId="0" borderId="0" xfId="0" applyFont="1" applyNumberFormat="1">
      <alignment horizontal="center" vertical="center" wrapText="1"/>
    </xf>
    <xf numFmtId="49" fontId="47" fillId="0" borderId="0" xfId="0" applyFont="1" applyNumberFormat="1">
      <alignment horizontal="center" vertical="center" wrapText="1"/>
    </xf>
    <xf numFmtId="0" fontId="22" fillId="0" borderId="12" xfId="0" applyFont="1" applyBorder="1">
      <alignment horizontal="left" vertical="center" wrapText="1"/>
    </xf>
    <xf numFmtId="49" fontId="95" fillId="0" borderId="12" xfId="0" applyFont="1" applyBorder="1" applyNumberFormat="1">
      <alignment horizontal="center" vertical="top" wrapText="1"/>
    </xf>
    <xf numFmtId="0" fontId="95" fillId="41" borderId="12" xfId="0" applyFont="1" applyFill="1" applyBorder="1">
      <alignment horizontal="center" vertical="center" wrapText="1"/>
    </xf>
    <xf numFmtId="49" fontId="95" fillId="0" borderId="37" xfId="0" applyFont="1" applyBorder="1" applyNumberFormat="1">
      <alignment horizontal="center" vertical="top" wrapText="1"/>
    </xf>
    <xf numFmtId="49" fontId="95" fillId="0" borderId="17" xfId="0" applyFont="1" applyBorder="1" applyNumberFormat="1">
      <alignment horizontal="center" vertical="top" wrapText="1"/>
    </xf>
    <xf numFmtId="49" fontId="39" fillId="37" borderId="14" xfId="0" applyFont="1" applyFill="1" applyBorder="1" applyNumberFormat="1">
      <alignment horizontal="left" vertical="center" indent="1"/>
    </xf>
    <xf numFmtId="0" fontId="0" fillId="35" borderId="17" xfId="0" applyFont="1" applyFill="1" applyBorder="1">
      <alignment horizontal="center" vertical="center" wrapText="1"/>
    </xf>
    <xf numFmtId="0" fontId="22" fillId="35" borderId="17" xfId="0" applyFont="1" applyFill="1" applyBorder="1">
      <alignment horizontal="center" vertical="center" wrapText="1"/>
    </xf>
    <xf numFmtId="49" fontId="98" fillId="0" borderId="0" xfId="0" applyFont="1" applyNumberFormat="1">
      <alignment horizontal="center" vertical="center" wrapText="1"/>
    </xf>
    <xf numFmtId="0" fontId="22" fillId="0" borderId="0" xfId="0" applyFont="1">
      <alignment vertical="center" wrapText="1"/>
    </xf>
    <xf numFmtId="49" fontId="22" fillId="0" borderId="0" xfId="0" applyFont="1" applyNumberFormat="1">
      <alignment vertical="top"/>
    </xf>
    <xf numFmtId="0" fontId="22" fillId="35" borderId="0" xfId="0" applyFont="1" applyFill="1">
      <alignment vertical="center" wrapText="1"/>
    </xf>
    <xf numFmtId="0" fontId="22" fillId="0" borderId="38" xfId="0" applyFont="1" applyBorder="1">
      <alignment vertical="center" wrapText="1"/>
    </xf>
    <xf numFmtId="0" fontId="46" fillId="0" borderId="0" xfId="0" applyFont="1">
      <alignment vertical="center" wrapText="1"/>
    </xf>
    <xf numFmtId="49" fontId="22" fillId="0" borderId="0" xfId="0" applyFont="1" applyNumberFormat="1">
      <alignment vertical="top"/>
    </xf>
    <xf numFmtId="0" fontId="22" fillId="35" borderId="0" xfId="0" applyFont="1" applyFill="1">
      <alignment vertical="center" wrapText="1"/>
    </xf>
    <xf numFmtId="49" fontId="22" fillId="0" borderId="0" xfId="0" applyFont="1" applyNumberFormat="1">
      <alignment vertical="top"/>
    </xf>
    <xf numFmtId="0" fontId="22" fillId="0" borderId="0" xfId="0" applyFont="1">
      <alignment vertical="center"/>
    </xf>
    <xf numFmtId="0" fontId="0" fillId="35" borderId="17" xfId="0" applyFont="1" applyFill="1" applyBorder="1">
      <alignment horizontal="center" vertical="center" wrapText="1"/>
    </xf>
    <xf numFmtId="0" fontId="0" fillId="35" borderId="37" xfId="0" applyFont="1" applyFill="1" applyBorder="1">
      <alignment horizontal="center" vertical="center" wrapText="1"/>
    </xf>
    <xf numFmtId="0" fontId="22" fillId="37" borderId="29" xfId="0" applyFont="1" applyFill="1" applyBorder="1">
      <alignment vertical="center" wrapText="1"/>
    </xf>
    <xf numFmtId="0" fontId="22" fillId="0" borderId="0" xfId="0" applyFont="1">
      <alignment vertical="center" wrapText="1"/>
    </xf>
    <xf numFmtId="0" fontId="22" fillId="35" borderId="39" xfId="0" applyFont="1" applyFill="1" applyBorder="1">
      <alignment vertical="center" wrapText="1"/>
    </xf>
    <xf numFmtId="0" fontId="49" fillId="35" borderId="39" xfId="0" applyFont="1" applyFill="1" applyBorder="1">
      <alignment horizontal="center" wrapText="1"/>
    </xf>
    <xf numFmtId="49" fontId="73" fillId="0" borderId="39" xfId="0" applyFont="1" applyBorder="1" applyNumberFormat="1">
      <alignment vertical="top"/>
    </xf>
    <xf numFmtId="49" fontId="44" fillId="0" borderId="0" xfId="0" applyFont="1" applyNumberFormat="1">
      <alignment vertical="center"/>
    </xf>
    <xf numFmtId="49" fontId="99" fillId="0" borderId="0" xfId="0" applyFont="1" applyNumberFormat="1">
      <alignment vertical="center"/>
    </xf>
    <xf numFmtId="49" fontId="44" fillId="0" borderId="0" xfId="0" applyFont="1" applyNumberFormat="1">
      <alignment vertical="center"/>
    </xf>
    <xf numFmtId="49" fontId="44" fillId="0" borderId="0" xfId="0" applyFont="1" applyNumberFormat="1">
      <alignment vertical="center"/>
    </xf>
    <xf numFmtId="49" fontId="44" fillId="0" borderId="0" xfId="0" applyFont="1" applyNumberFormat="1">
      <alignment vertical="center" wrapText="1"/>
    </xf>
    <xf numFmtId="49" fontId="99" fillId="0" borderId="0" xfId="0" applyFont="1" applyNumberFormat="1">
      <alignment vertical="center" wrapText="1"/>
    </xf>
    <xf numFmtId="49" fontId="44" fillId="0" borderId="0" xfId="0" applyFont="1" applyNumberFormat="1">
      <alignment vertical="center" wrapText="1"/>
    </xf>
    <xf numFmtId="49" fontId="44" fillId="0" borderId="0" xfId="0" applyFont="1" applyNumberFormat="1">
      <alignment vertical="top"/>
    </xf>
    <xf numFmtId="49" fontId="44" fillId="0" borderId="0" xfId="0" applyFont="1" applyNumberFormat="1">
      <alignment vertical="center" wrapText="1"/>
    </xf>
    <xf numFmtId="49" fontId="44" fillId="0" borderId="0" xfId="0" applyFont="1" applyNumberFormat="1">
      <alignment horizontal="center" vertical="center" wrapText="1"/>
    </xf>
    <xf numFmtId="49" fontId="99" fillId="0" borderId="0" xfId="0" applyFont="1" applyNumberFormat="1">
      <alignment horizontal="center" vertical="center" wrapText="1"/>
    </xf>
    <xf numFmtId="49" fontId="44" fillId="0" borderId="0" xfId="0" applyFont="1" applyNumberFormat="1">
      <alignment horizontal="center" vertical="center" wrapText="1"/>
    </xf>
    <xf numFmtId="49" fontId="99" fillId="0" borderId="0" xfId="0" applyFont="1" applyNumberFormat="1">
      <alignment horizontal="center" vertical="center" wrapText="1"/>
    </xf>
    <xf numFmtId="0" fontId="44" fillId="0" borderId="0" xfId="0" applyFont="1">
      <alignment horizontal="center" vertical="center" wrapText="1"/>
    </xf>
    <xf numFmtId="49" fontId="99" fillId="0" borderId="0" xfId="0" applyFont="1" applyNumberFormat="1">
      <alignment vertical="center" wrapText="1"/>
    </xf>
    <xf numFmtId="49" fontId="44" fillId="35" borderId="0" xfId="0" applyFont="1" applyFill="1" applyNumberFormat="1">
      <alignment vertical="center" wrapText="1"/>
    </xf>
    <xf numFmtId="49" fontId="44" fillId="0" borderId="0" xfId="0" applyFont="1" applyNumberFormat="1">
      <alignment vertical="top"/>
    </xf>
    <xf numFmtId="49" fontId="44" fillId="35" borderId="0" xfId="0" applyFont="1" applyFill="1" applyNumberFormat="1">
      <alignment vertical="center"/>
    </xf>
    <xf numFmtId="49" fontId="99" fillId="0" borderId="0" xfId="0" applyFont="1" applyNumberFormat="1">
      <alignment vertical="center"/>
    </xf>
    <xf numFmtId="49" fontId="44" fillId="0" borderId="0" xfId="0" applyFont="1" applyNumberFormat="1">
      <alignment vertical="top"/>
    </xf>
    <xf numFmtId="4" fontId="44" fillId="35" borderId="0" xfId="0" applyFont="1" applyFill="1" applyNumberFormat="1">
      <alignment vertical="center"/>
    </xf>
    <xf numFmtId="49" fontId="31" fillId="0" borderId="0" xfId="0" applyFont="1" applyNumberFormat="1">
      <alignment horizontal="center" vertical="center" wrapText="1"/>
    </xf>
    <xf numFmtId="49" fontId="22" fillId="0" borderId="0" xfId="0" applyFont="1" applyNumberFormat="1">
      <alignment horizontal="center" vertical="center" wrapText="1"/>
    </xf>
    <xf numFmtId="49" fontId="22" fillId="35" borderId="0" xfId="0" applyFont="1" applyFill="1" applyNumberFormat="1">
      <alignment horizontal="center" vertical="center" wrapText="1"/>
    </xf>
    <xf numFmtId="49" fontId="47" fillId="0" borderId="13" xfId="0" applyFont="1" applyBorder="1" applyNumberFormat="1">
      <alignment horizontal="left" vertical="center" indent="1"/>
    </xf>
    <xf numFmtId="0" fontId="22" fillId="0" borderId="24" xfId="0" applyFont="1" applyBorder="1">
      <alignment vertical="top" wrapText="1"/>
    </xf>
    <xf numFmtId="0" fontId="22" fillId="0" borderId="14" xfId="0" applyFont="1" applyBorder="1">
      <alignment horizontal="center" vertical="center" wrapText="1"/>
    </xf>
    <xf numFmtId="0" fontId="22" fillId="0" borderId="17" xfId="0" applyFont="1" applyBorder="1">
      <alignment horizontal="center" vertical="center" wrapText="1"/>
    </xf>
    <xf numFmtId="0" fontId="22" fillId="0" borderId="12" xfId="0" applyFont="1" applyBorder="1">
      <alignment horizontal="center" vertical="center" wrapText="1"/>
    </xf>
    <xf numFmtId="49" fontId="46" fillId="0" borderId="0" xfId="0" applyFont="1" applyNumberFormat="1">
      <alignment horizontal="center" vertical="center" wrapText="1"/>
    </xf>
    <xf numFmtId="49" fontId="47" fillId="0" borderId="0" xfId="0" applyFont="1" applyNumberFormat="1">
      <alignment horizontal="center" vertical="center" wrapText="1"/>
    </xf>
    <xf numFmtId="49" fontId="22" fillId="0" borderId="12" xfId="0" applyFont="1" applyBorder="1" applyNumberFormat="1">
      <alignment horizontal="center" vertical="center" wrapText="1"/>
    </xf>
    <xf numFmtId="0" fontId="22" fillId="0" borderId="12" xfId="0" applyFont="1" applyBorder="1">
      <alignment horizontal="left" vertical="center" wrapText="1" indent="1"/>
    </xf>
    <xf numFmtId="49" fontId="22" fillId="39" borderId="12" xfId="0" applyFont="1" applyFill="1" applyBorder="1" applyNumberFormat="1">
      <alignment horizontal="left" vertical="center" wrapText="1"/>
      <protection locked="0"/>
    </xf>
    <xf numFmtId="0" fontId="36" fillId="0" borderId="0" xfId="0" applyFont="1">
      <alignment horizontal="center" vertical="center" wrapText="1"/>
    </xf>
    <xf numFmtId="49" fontId="91" fillId="0" borderId="12" xfId="0" applyFont="1" applyBorder="1" applyNumberFormat="1">
      <alignment horizontal="center" vertical="center" wrapText="1"/>
    </xf>
    <xf numFmtId="0" fontId="91" fillId="0" borderId="12" xfId="0" applyFont="1" applyBorder="1">
      <alignment horizontal="center" vertical="center" wrapText="1"/>
    </xf>
    <xf numFmtId="49" fontId="91" fillId="0" borderId="17" xfId="0" applyFont="1" applyBorder="1" applyNumberFormat="1">
      <alignment horizontal="center" vertical="center" wrapText="1"/>
    </xf>
    <xf numFmtId="49" fontId="91" fillId="0" borderId="23" xfId="0" applyFont="1" applyBorder="1" applyNumberFormat="1">
      <alignment horizontal="center" vertical="center" wrapText="1"/>
    </xf>
    <xf numFmtId="0" fontId="91" fillId="0" borderId="17" xfId="0" applyFont="1" applyBorder="1">
      <alignment horizontal="center" vertical="center" wrapText="1"/>
    </xf>
    <xf numFmtId="49" fontId="95" fillId="0" borderId="22" xfId="0" applyFont="1" applyBorder="1" applyNumberFormat="1">
      <alignment horizontal="center" vertical="top" wrapText="1"/>
    </xf>
    <xf numFmtId="49" fontId="95" fillId="0" borderId="36" xfId="0" applyFont="1" applyBorder="1" applyNumberFormat="1">
      <alignment horizontal="left" vertical="top" wrapText="1"/>
    </xf>
    <xf numFmtId="0" fontId="91" fillId="0" borderId="12" xfId="0" applyFont="1" applyBorder="1">
      <alignment vertical="center" wrapText="1"/>
    </xf>
    <xf numFmtId="0" fontId="91" fillId="0" borderId="17" xfId="0" applyFont="1" applyBorder="1">
      <alignment vertical="center" wrapText="1"/>
    </xf>
    <xf numFmtId="0" fontId="91" fillId="0" borderId="23" xfId="0" applyFont="1" applyBorder="1">
      <alignment vertical="center" wrapText="1"/>
    </xf>
    <xf numFmtId="49" fontId="91" fillId="0" borderId="12" xfId="0" applyFont="1" applyBorder="1" applyNumberFormat="1">
      <alignment horizontal="left" vertical="top" wrapText="1"/>
    </xf>
    <xf numFmtId="200" fontId="22" fillId="39" borderId="17" xfId="0" applyFont="1" applyFill="1" applyBorder="1" applyNumberFormat="1">
      <alignment horizontal="right" vertical="center" wrapText="1"/>
      <protection locked="0"/>
    </xf>
    <xf numFmtId="0" fontId="22" fillId="0" borderId="13" xfId="0" applyFont="1" applyBorder="1">
      <alignment horizontal="center" vertical="center" wrapText="1"/>
    </xf>
    <xf numFmtId="0" fontId="22" fillId="0" borderId="20" xfId="0" applyFont="1" applyBorder="1">
      <alignment horizontal="center" vertical="center" wrapText="1"/>
    </xf>
    <xf numFmtId="49" fontId="22" fillId="37" borderId="37" xfId="0" applyFont="1" applyFill="1" applyBorder="1" applyNumberFormat="1">
      <alignment vertical="center" wrapText="1"/>
    </xf>
    <xf numFmtId="49" fontId="39" fillId="37" borderId="19" xfId="0" applyFont="1" applyFill="1" applyBorder="1" applyNumberFormat="1">
      <alignment horizontal="left" vertical="center" indent="1"/>
    </xf>
    <xf numFmtId="49" fontId="22" fillId="37" borderId="37" xfId="0" applyFont="1" applyFill="1" applyBorder="1" applyNumberFormat="1">
      <alignment vertical="center" wrapText="1"/>
    </xf>
    <xf numFmtId="49" fontId="39" fillId="37" borderId="19" xfId="0" applyFont="1" applyFill="1" applyBorder="1" applyNumberFormat="1">
      <alignment horizontal="left" vertical="center" indent="1"/>
    </xf>
    <xf numFmtId="0" fontId="72" fillId="0" borderId="0" xfId="0" applyFont="1">
      <alignment horizontal="center" vertical="center" wrapText="1"/>
    </xf>
    <xf numFmtId="4" fontId="22" fillId="39" borderId="13" xfId="0" applyFont="1" applyFill="1" applyBorder="1" applyNumberFormat="1">
      <alignment horizontal="right" vertical="center" wrapText="1"/>
      <protection locked="0"/>
    </xf>
    <xf numFmtId="200" fontId="22" fillId="39" borderId="13" xfId="0" applyFont="1" applyFill="1" applyBorder="1" applyNumberFormat="1">
      <alignment horizontal="right" vertical="center" wrapText="1"/>
      <protection locked="0"/>
    </xf>
    <xf numFmtId="200" fontId="22" fillId="34" borderId="13" xfId="0" applyFont="1" applyFill="1" applyBorder="1" applyNumberFormat="1">
      <alignment horizontal="right" vertical="center" wrapText="1"/>
    </xf>
    <xf numFmtId="4" fontId="22" fillId="39" borderId="29" xfId="0" applyFont="1" applyFill="1" applyBorder="1" applyNumberFormat="1">
      <alignment horizontal="right" vertical="center" wrapText="1"/>
      <protection locked="0"/>
    </xf>
    <xf numFmtId="49" fontId="91" fillId="41" borderId="12" xfId="0" applyFont="1" applyFill="1" applyBorder="1" applyNumberFormat="1">
      <alignment horizontal="center" vertical="top"/>
    </xf>
    <xf numFmtId="49" fontId="95" fillId="0" borderId="0" xfId="0" applyFont="1" applyNumberFormat="1">
      <alignment vertical="top"/>
    </xf>
    <xf numFmtId="49" fontId="91" fillId="0" borderId="12" xfId="0" applyFont="1" applyBorder="1" applyNumberFormat="1">
      <alignment horizontal="center" vertical="top" wrapText="1"/>
    </xf>
    <xf numFmtId="49" fontId="91" fillId="0" borderId="12" xfId="0" applyFont="1" applyBorder="1" applyNumberFormat="1">
      <alignment vertical="top" wrapText="1"/>
    </xf>
    <xf numFmtId="0" fontId="91" fillId="0" borderId="12" xfId="0" applyFont="1" applyBorder="1">
      <alignment vertical="top" wrapText="1"/>
    </xf>
    <xf numFmtId="49" fontId="91" fillId="0" borderId="12" xfId="0" applyFont="1" applyBorder="1" applyNumberFormat="1">
      <alignment vertical="top"/>
    </xf>
    <xf numFmtId="49" fontId="95" fillId="0" borderId="12" xfId="0" applyFont="1" applyBorder="1" applyNumberFormat="1">
      <alignment vertical="top"/>
    </xf>
    <xf numFmtId="49" fontId="91" fillId="0" borderId="0" xfId="0" applyFont="1" applyNumberFormat="1">
      <alignment horizontal="center" vertical="center" wrapText="1"/>
    </xf>
    <xf numFmtId="49" fontId="91" fillId="0" borderId="0" xfId="0" applyFont="1" applyNumberFormat="1">
      <alignment horizontal="left" vertical="center" wrapText="1"/>
    </xf>
    <xf numFmtId="49" fontId="91" fillId="46" borderId="0" xfId="0" applyFont="1" applyFill="1" applyNumberFormat="1">
      <alignment horizontal="center" vertical="center" wrapText="1"/>
    </xf>
    <xf numFmtId="0" fontId="91" fillId="0" borderId="0" xfId="0" applyFont="1">
      <alignment vertical="center" wrapText="1"/>
    </xf>
    <xf numFmtId="0" fontId="47" fillId="0" borderId="12" xfId="0" applyFont="1" applyBorder="1">
      <alignment horizontal="left" vertical="center" wrapText="1" indent="3"/>
    </xf>
    <xf numFmtId="49" fontId="47" fillId="0" borderId="12" xfId="0" applyFont="1" applyBorder="1" applyNumberFormat="1">
      <alignment vertical="center" wrapText="1"/>
    </xf>
    <xf numFmtId="0" fontId="47" fillId="0" borderId="17" xfId="0" applyFont="1" applyBorder="1">
      <alignment vertical="top" wrapText="1"/>
    </xf>
    <xf numFmtId="0" fontId="47" fillId="0" borderId="36" xfId="0" applyFont="1" applyBorder="1">
      <alignment horizontal="left" vertical="center" wrapText="1" indent="1"/>
    </xf>
    <xf numFmtId="0" fontId="47" fillId="0" borderId="36" xfId="0" applyFont="1" applyBorder="1">
      <alignment horizontal="center" vertical="center" wrapText="1"/>
    </xf>
    <xf numFmtId="0" fontId="47" fillId="0" borderId="17" xfId="0" applyFont="1" applyBorder="1">
      <alignment vertical="center" wrapText="1"/>
    </xf>
    <xf numFmtId="0" fontId="47" fillId="0" borderId="23" xfId="0" applyFont="1" applyBorder="1">
      <alignment horizontal="left" vertical="center" wrapText="1" indent="1"/>
    </xf>
    <xf numFmtId="0" fontId="47" fillId="0" borderId="17" xfId="0" applyFont="1" applyBorder="1">
      <alignment horizontal="left" vertical="center" wrapText="1" indent="1"/>
    </xf>
    <xf numFmtId="49" fontId="95" fillId="41" borderId="12" xfId="0" applyFont="1" applyFill="1" applyBorder="1" applyNumberFormat="1">
      <alignment horizontal="center" vertical="top" wrapText="1"/>
    </xf>
    <xf numFmtId="49" fontId="95" fillId="41" borderId="12" xfId="0" applyFont="1" applyFill="1" applyBorder="1" applyNumberFormat="1">
      <alignment horizontal="left" vertical="top" wrapText="1"/>
    </xf>
    <xf numFmtId="49" fontId="95" fillId="41" borderId="0" xfId="0" applyFont="1" applyFill="1" applyNumberFormat="1">
      <alignment horizontal="left" vertical="top" wrapText="1"/>
    </xf>
    <xf numFmtId="0" fontId="91" fillId="0" borderId="14" xfId="0" applyFont="1" applyBorder="1">
      <alignment horizontal="center" vertical="center" wrapText="1"/>
    </xf>
    <xf numFmtId="0" fontId="22" fillId="0" borderId="23" xfId="0" applyFont="1" applyBorder="1">
      <alignment vertical="top" wrapText="1"/>
    </xf>
    <xf numFmtId="0" fontId="22" fillId="0" borderId="23" xfId="0" applyFont="1" applyBorder="1">
      <alignment vertical="top" wrapText="1"/>
    </xf>
    <xf numFmtId="0" fontId="91" fillId="0" borderId="14" xfId="0" applyFont="1" applyBorder="1">
      <alignment horizontal="center" vertical="center"/>
    </xf>
    <xf numFmtId="49" fontId="47" fillId="35" borderId="12" xfId="0" applyFont="1" applyFill="1" applyBorder="1" applyNumberFormat="1">
      <alignment horizontal="center" vertical="center"/>
    </xf>
    <xf numFmtId="0" fontId="47" fillId="35" borderId="12" xfId="0" applyFont="1" applyFill="1" applyBorder="1">
      <alignment horizontal="left" vertical="center" wrapText="1" indent="1"/>
    </xf>
    <xf numFmtId="0" fontId="47" fillId="35" borderId="12" xfId="0" applyFont="1" applyFill="1" applyBorder="1">
      <alignment vertical="center" wrapText="1"/>
    </xf>
    <xf numFmtId="49" fontId="47" fillId="0" borderId="12" xfId="0" applyFont="1" applyBorder="1" applyNumberFormat="1">
      <alignment horizontal="center" vertical="center"/>
    </xf>
    <xf numFmtId="0" fontId="47" fillId="0" borderId="12" xfId="0" applyFont="1" applyBorder="1">
      <alignment horizontal="left" vertical="center" wrapText="1" indent="1"/>
    </xf>
    <xf numFmtId="0" fontId="47" fillId="0" borderId="12" xfId="0" applyFont="1" applyBorder="1">
      <alignment horizontal="left" vertical="center" wrapText="1"/>
    </xf>
    <xf numFmtId="0" fontId="47" fillId="0" borderId="12" xfId="0" applyFont="1" applyBorder="1">
      <alignment vertical="center" wrapText="1"/>
    </xf>
    <xf numFmtId="0" fontId="47" fillId="0" borderId="12" xfId="0" applyFont="1" applyBorder="1">
      <alignment horizontal="center" vertical="center" wrapText="1"/>
    </xf>
    <xf numFmtId="0" fontId="47" fillId="35" borderId="12" xfId="0" applyFont="1" applyFill="1" applyBorder="1">
      <alignment horizontal="left" vertical="center" wrapText="1" indent="2"/>
    </xf>
    <xf numFmtId="49" fontId="47" fillId="0" borderId="12" xfId="0" applyFont="1" applyBorder="1" applyNumberFormat="1">
      <alignment horizontal="left" vertical="center" wrapText="1"/>
    </xf>
    <xf numFmtId="49" fontId="47" fillId="0" borderId="12" xfId="0" applyFont="1" applyBorder="1" applyNumberFormat="1">
      <alignment horizontal="left" vertical="center" wrapText="1"/>
    </xf>
    <xf numFmtId="2" fontId="22" fillId="0" borderId="23" xfId="0" applyFont="1" applyBorder="1" applyNumberFormat="1">
      <alignment horizontal="center" vertical="center" wrapText="1"/>
    </xf>
    <xf numFmtId="0" fontId="100" fillId="0" borderId="0" xfId="0" applyFont="1">
      <alignment horizontal="center" vertical="center" wrapText="1"/>
    </xf>
    <xf numFmtId="0" fontId="101" fillId="35" borderId="0" xfId="0" applyFont="1" applyFill="1">
      <alignment horizontal="right" vertical="center"/>
    </xf>
    <xf numFmtId="0" fontId="22" fillId="0" borderId="23" xfId="0" applyFont="1" applyBorder="1">
      <alignment horizontal="left" vertical="center" wrapText="1"/>
    </xf>
    <xf numFmtId="49" fontId="46" fillId="0" borderId="0" xfId="0" applyFont="1" applyNumberFormat="1">
      <alignment horizontal="center" vertical="center" wrapText="1"/>
    </xf>
    <xf numFmtId="0" fontId="47" fillId="0" borderId="27" xfId="0" applyFont="1" applyBorder="1">
      <alignment vertical="center" wrapText="1"/>
    </xf>
    <xf numFmtId="49" fontId="53" fillId="0" borderId="14" xfId="0" applyFont="1" applyBorder="1" applyNumberFormat="1">
      <alignment horizontal="left" vertical="center" wrapText="1"/>
    </xf>
    <xf numFmtId="49" fontId="53" fillId="0" borderId="15" xfId="0" applyFont="1" applyBorder="1" applyNumberFormat="1">
      <alignment horizontal="left" vertical="center" wrapText="1"/>
    </xf>
    <xf numFmtId="49" fontId="47" fillId="0" borderId="0" xfId="0" applyFont="1" applyNumberFormat="1">
      <alignment horizontal="center" vertical="center" wrapText="1"/>
    </xf>
    <xf numFmtId="0" fontId="47" fillId="0" borderId="0" xfId="0" applyFont="1">
      <alignment horizontal="center" vertical="center" wrapText="1"/>
    </xf>
    <xf numFmtId="4" fontId="22" fillId="0" borderId="17" xfId="0" applyFont="1" applyBorder="1" applyNumberFormat="1">
      <alignment horizontal="center" vertical="center" wrapText="1"/>
    </xf>
    <xf numFmtId="4" fontId="22" fillId="0" borderId="32" xfId="0" applyFont="1" applyBorder="1" applyNumberFormat="1">
      <alignment horizontal="center" vertical="center" wrapText="1"/>
    </xf>
    <xf numFmtId="49" fontId="53" fillId="0" borderId="37" xfId="0" applyFont="1" applyBorder="1" applyNumberFormat="1">
      <alignment horizontal="left" vertical="center" wrapText="1"/>
    </xf>
    <xf numFmtId="49" fontId="53" fillId="0" borderId="30" xfId="0" applyFont="1" applyBorder="1" applyNumberFormat="1">
      <alignment horizontal="left" vertical="center" wrapText="1"/>
    </xf>
    <xf numFmtId="0" fontId="22" fillId="0" borderId="36" xfId="0" applyFont="1" applyBorder="1">
      <alignment vertical="center" wrapText="1"/>
    </xf>
    <xf numFmtId="0" fontId="22" fillId="0" borderId="32" xfId="0" applyFont="1" applyBorder="1">
      <alignment horizontal="left" vertical="center" wrapText="1"/>
    </xf>
    <xf numFmtId="49" fontId="46" fillId="0" borderId="0" xfId="0" applyFont="1" applyNumberFormat="1">
      <alignment horizontal="center" vertical="center" wrapText="1"/>
    </xf>
    <xf numFmtId="0" fontId="22" fillId="0" borderId="0" xfId="0" applyFont="1">
      <alignment vertical="top" wrapText="1"/>
    </xf>
    <xf numFmtId="0" fontId="22" fillId="0" borderId="0" xfId="0" applyFont="1">
      <alignment vertical="top"/>
    </xf>
    <xf numFmtId="4" fontId="22" fillId="0" borderId="40" xfId="0" applyFont="1" applyBorder="1" applyNumberFormat="1">
      <alignment horizontal="center" vertical="center" wrapText="1"/>
    </xf>
    <xf numFmtId="0" fontId="47" fillId="0" borderId="0" xfId="0" applyFont="1">
      <alignment horizontal="center" vertical="top"/>
    </xf>
    <xf numFmtId="49" fontId="47" fillId="0" borderId="0" xfId="0" applyFont="1" applyNumberFormat="1">
      <alignment vertical="top"/>
    </xf>
    <xf numFmtId="0" fontId="47" fillId="0" borderId="23" xfId="0" applyFont="1" applyBorder="1">
      <alignment vertical="center" wrapText="1"/>
    </xf>
    <xf numFmtId="4" fontId="47" fillId="0" borderId="12" xfId="0" applyFont="1" applyBorder="1" applyNumberFormat="1">
      <alignment horizontal="right" vertical="center" wrapText="1"/>
    </xf>
    <xf numFmtId="2" fontId="47" fillId="0" borderId="23" xfId="0" applyFont="1" applyBorder="1" applyNumberFormat="1">
      <alignment horizontal="center" vertical="center" wrapText="1"/>
    </xf>
    <xf numFmtId="0" fontId="47" fillId="0" borderId="12" xfId="0" applyFont="1" applyBorder="1">
      <alignment horizontal="left" vertical="center" wrapText="1"/>
    </xf>
    <xf numFmtId="49" fontId="47" fillId="0" borderId="14" xfId="0" applyFont="1" applyBorder="1" applyNumberFormat="1">
      <alignment horizontal="left" vertical="center"/>
    </xf>
    <xf numFmtId="49" fontId="47" fillId="0" borderId="15" xfId="0" applyFont="1" applyBorder="1" applyNumberFormat="1">
      <alignment horizontal="left" vertical="center" indent="1"/>
    </xf>
    <xf numFmtId="49" fontId="47" fillId="0" borderId="15" xfId="0" applyFont="1" applyBorder="1" applyNumberFormat="1">
      <alignment horizontal="left" vertical="center"/>
    </xf>
    <xf numFmtId="0" fontId="47" fillId="0" borderId="12" xfId="0" applyFont="1" applyBorder="1">
      <alignment horizontal="left" vertical="center" indent="1"/>
    </xf>
    <xf numFmtId="49" fontId="39" fillId="0" borderId="19" xfId="0" applyFont="1" applyBorder="1" applyNumberFormat="1">
      <alignment horizontal="right" vertical="center"/>
    </xf>
    <xf numFmtId="0" fontId="22" fillId="40" borderId="12" xfId="0" applyFont="1" applyFill="1" applyBorder="1">
      <alignment horizontal="left" vertical="center" wrapText="1" indent="1"/>
    </xf>
    <xf numFmtId="0" fontId="22" fillId="0" borderId="12" xfId="0" applyFont="1" applyBorder="1">
      <alignment horizontal="center" vertical="center" wrapText="1"/>
    </xf>
    <xf numFmtId="0" fontId="47" fillId="0" borderId="0" xfId="0" applyFont="1">
      <alignment horizontal="center" vertical="center" wrapText="1"/>
    </xf>
    <xf numFmtId="49" fontId="46" fillId="0" borderId="0" xfId="0" applyFont="1" applyNumberFormat="1">
      <alignment horizontal="center" vertical="center" wrapText="1"/>
    </xf>
    <xf numFmtId="49" fontId="47" fillId="0" borderId="0" xfId="0" applyFont="1" applyNumberFormat="1">
      <alignment horizontal="center" vertical="center" wrapText="1"/>
    </xf>
    <xf numFmtId="0" fontId="61" fillId="35" borderId="0" xfId="0" applyFont="1" applyFill="1">
      <alignment horizontal="left" vertical="center" wrapText="1" indent="1"/>
    </xf>
    <xf numFmtId="0" fontId="22" fillId="0" borderId="0" xfId="0" applyFont="1">
      <alignment horizontal="left" vertical="center" wrapText="1" indent="1"/>
    </xf>
    <xf numFmtId="49" fontId="53" fillId="36" borderId="13" xfId="0" applyFont="1" applyFill="1" applyBorder="1" applyNumberFormat="1">
      <alignment horizontal="left" vertical="center" wrapText="1"/>
      <protection locked="0"/>
    </xf>
    <xf numFmtId="49" fontId="22" fillId="0" borderId="0" xfId="0" applyFont="1" applyNumberFormat="1">
      <alignment horizontal="center" vertical="center" wrapText="1"/>
    </xf>
    <xf numFmtId="0" fontId="22" fillId="0" borderId="19" xfId="0" applyFont="1" applyBorder="1">
      <alignment vertical="center" wrapText="1"/>
    </xf>
    <xf numFmtId="0" fontId="22" fillId="0" borderId="27" xfId="0" applyFont="1" applyBorder="1">
      <alignment vertical="center" wrapText="1"/>
    </xf>
    <xf numFmtId="49" fontId="22" fillId="37" borderId="41" xfId="0" applyFont="1" applyFill="1" applyBorder="1" applyNumberFormat="1">
      <alignment horizontal="center" vertical="center" wrapText="1"/>
    </xf>
    <xf numFmtId="49" fontId="49" fillId="37" borderId="42" xfId="0" applyFont="1" applyFill="1" applyBorder="1" applyNumberFormat="1">
      <alignment horizontal="right" vertical="center" wrapText="1"/>
    </xf>
    <xf numFmtId="49" fontId="49" fillId="37" borderId="43" xfId="0" applyFont="1" applyFill="1" applyBorder="1" applyNumberFormat="1">
      <alignment horizontal="right" vertical="center" wrapText="1"/>
    </xf>
    <xf numFmtId="49" fontId="44" fillId="0" borderId="0" xfId="0" applyFont="1" applyNumberFormat="1">
      <alignment vertical="top"/>
    </xf>
    <xf numFmtId="49" fontId="44" fillId="0" borderId="0" xfId="0" applyFont="1" applyNumberFormat="1">
      <alignment vertical="center" wrapText="1"/>
    </xf>
    <xf numFmtId="0" fontId="44" fillId="0" borderId="0" xfId="0" applyFont="1">
      <alignment vertical="center" wrapText="1"/>
    </xf>
    <xf numFmtId="49" fontId="94" fillId="0" borderId="0" xfId="0" applyFont="1" applyNumberFormat="1">
      <alignment vertical="center" wrapText="1"/>
    </xf>
    <xf numFmtId="49" fontId="0" fillId="0" borderId="0" xfId="0" applyFont="1" applyNumberFormat="1">
      <alignment vertical="center" wrapText="1"/>
    </xf>
    <xf numFmtId="49" fontId="31" fillId="47" borderId="0" xfId="0" applyFont="1" applyFill="1" applyNumberFormat="1">
      <alignment horizontal="center" vertical="center"/>
    </xf>
    <xf numFmtId="0" fontId="0" fillId="48" borderId="0" xfId="0" applyFont="1" applyFill="1">
      <alignment horizontal="left" vertical="center"/>
    </xf>
    <xf numFmtId="0" fontId="0" fillId="49" borderId="12" xfId="0" applyFont="1" applyFill="1" applyBorder="1">
      <alignment horizontal="center" vertical="center"/>
    </xf>
    <xf numFmtId="49" fontId="0" fillId="0" borderId="0" xfId="0" applyFont="1" applyNumberFormat="1">
      <alignment vertical="center"/>
    </xf>
    <xf numFmtId="49" fontId="46" fillId="47" borderId="12" xfId="0" applyFont="1" applyFill="1" applyBorder="1" applyNumberFormat="1">
      <alignment horizontal="center" vertical="center"/>
    </xf>
    <xf numFmtId="49" fontId="46" fillId="50" borderId="12" xfId="0" applyFont="1" applyFill="1" applyBorder="1" applyNumberFormat="1">
      <alignment horizontal="center" vertical="center"/>
    </xf>
    <xf numFmtId="49" fontId="0" fillId="51" borderId="12" xfId="0" applyFont="1" applyFill="1" applyBorder="1" applyNumberFormat="1">
      <alignment horizontal="center" vertical="center"/>
    </xf>
    <xf numFmtId="49" fontId="22" fillId="0" borderId="0" xfId="0" applyFont="1" applyNumberFormat="1">
      <alignment vertical="top"/>
    </xf>
    <xf numFmtId="0" fontId="22" fillId="0" borderId="12" xfId="0" applyFont="1" applyBorder="1">
      <alignment vertical="center"/>
    </xf>
    <xf numFmtId="0" fontId="0" fillId="0" borderId="12" xfId="0" applyFont="1" applyBorder="1">
      <alignment vertical="center"/>
    </xf>
    <xf numFmtId="0" fontId="0" fillId="0" borderId="12" xfId="0" applyFont="1" applyBorder="1">
      <alignment vertical="center"/>
    </xf>
    <xf numFmtId="0" fontId="0" fillId="0" borderId="14" xfId="0" applyFont="1" applyBorder="1">
      <alignment vertical="center"/>
    </xf>
    <xf numFmtId="0" fontId="0" fillId="0" borderId="14" xfId="0" applyFont="1" applyBorder="1">
      <alignment vertical="center"/>
    </xf>
    <xf numFmtId="49" fontId="22" fillId="0" borderId="44" xfId="0" applyFont="1" applyBorder="1" applyNumberFormat="1">
      <alignment vertical="center"/>
    </xf>
    <xf numFmtId="49" fontId="22" fillId="0" borderId="45" xfId="0" applyFont="1" applyBorder="1" applyNumberFormat="1">
      <alignment vertical="top"/>
    </xf>
    <xf numFmtId="0" fontId="0" fillId="0" borderId="13" xfId="0" applyFont="1" applyBorder="1">
      <alignment vertical="center"/>
    </xf>
    <xf numFmtId="0" fontId="0" fillId="0" borderId="12" xfId="0" applyFont="1" applyBorder="1">
      <alignment horizontal="right" vertical="top"/>
    </xf>
    <xf numFmtId="0" fontId="0" fillId="0" borderId="12" xfId="0" applyFont="1" applyBorder="1">
      <alignment vertical="top"/>
    </xf>
    <xf numFmtId="0" fontId="22" fillId="0" borderId="13" xfId="0" applyFont="1" applyBorder="1">
      <alignment vertical="center"/>
    </xf>
    <xf numFmtId="49" fontId="22" fillId="0" borderId="12" xfId="0" applyFont="1" applyBorder="1" applyNumberFormat="1">
      <alignment vertical="center"/>
    </xf>
    <xf numFmtId="0" fontId="0" fillId="0" borderId="0" xfId="0" applyFont="1">
      <alignment vertical="top"/>
    </xf>
    <xf numFmtId="0" fontId="22" fillId="0" borderId="12" xfId="0" applyFont="1" applyBorder="1">
      <alignment vertical="top"/>
    </xf>
    <xf numFmtId="49" fontId="22" fillId="0" borderId="12" xfId="0" applyFont="1" applyBorder="1" applyNumberFormat="1">
      <alignment vertical="top"/>
    </xf>
    <xf numFmtId="49" fontId="0" fillId="0" borderId="0" xfId="0" applyFont="1" applyNumberFormat="1">
      <alignment vertical="top"/>
    </xf>
    <xf numFmtId="0" fontId="22" fillId="0" borderId="0" xfId="0" applyFont="1">
      <alignment vertical="center"/>
    </xf>
    <xf numFmtId="49" fontId="22" fillId="0" borderId="14" xfId="0" applyFont="1" applyBorder="1" applyNumberFormat="1">
      <alignment vertical="top"/>
    </xf>
    <xf numFmtId="0" fontId="0" fillId="0" borderId="0" xfId="0" applyFont="1">
      <alignment vertical="center"/>
    </xf>
    <xf numFmtId="0" fontId="22" fillId="0" borderId="0" xfId="0" applyFont="1">
      <alignment vertical="top"/>
    </xf>
    <xf numFmtId="49" fontId="22" fillId="0" borderId="12" xfId="0" applyFont="1" applyBorder="1" applyNumberFormat="1">
      <alignment vertical="top"/>
    </xf>
    <xf numFmtId="49" fontId="0" fillId="0" borderId="14" xfId="0" applyFont="1" applyBorder="1" applyNumberFormat="1">
      <alignment vertical="top"/>
    </xf>
    <xf numFmtId="0" fontId="0" fillId="0" borderId="17" xfId="0" applyFont="1" applyBorder="1">
      <alignment vertical="top"/>
    </xf>
    <xf numFmtId="0" fontId="22" fillId="0" borderId="17" xfId="0" applyFont="1" applyBorder="1">
      <alignment vertical="center"/>
    </xf>
    <xf numFmtId="49" fontId="22" fillId="0" borderId="31" xfId="0" applyFont="1" applyBorder="1" applyNumberFormat="1">
      <alignment horizontal="center" vertical="center"/>
    </xf>
    <xf numFmtId="49" fontId="22" fillId="0" borderId="0" xfId="0" applyFont="1" applyNumberFormat="1">
      <alignment vertical="top"/>
    </xf>
    <xf numFmtId="49" fontId="22" fillId="0" borderId="0" xfId="0" applyFont="1" applyNumberFormat="1">
      <alignment vertical="top"/>
    </xf>
    <xf numFmtId="49" fontId="0" fillId="36" borderId="31" xfId="0" applyFont="1" applyFill="1" applyBorder="1" applyNumberFormat="1">
      <alignment horizontal="left" vertical="center"/>
      <protection locked="0"/>
    </xf>
    <xf numFmtId="49" fontId="0" fillId="0" borderId="12" xfId="0" applyFont="1" applyBorder="1" applyNumberFormat="1">
      <alignment horizontal="center" vertical="center"/>
    </xf>
    <xf numFmtId="49" fontId="0" fillId="0" borderId="31" xfId="0" applyFont="1" applyBorder="1" applyNumberFormat="1">
      <alignment horizontal="right" vertical="center"/>
    </xf>
    <xf numFmtId="0" fontId="0" fillId="34" borderId="31" xfId="0" applyFont="1" applyFill="1" applyBorder="1">
      <alignment horizontal="center" vertical="center"/>
    </xf>
    <xf numFmtId="49" fontId="0" fillId="0" borderId="31" xfId="0" applyFont="1" applyBorder="1" applyNumberFormat="1">
      <alignment horizontal="center" vertical="center"/>
    </xf>
    <xf numFmtId="49" fontId="0" fillId="0" borderId="0" xfId="0" applyFont="1" applyNumberFormat="1">
      <alignment horizontal="left" vertical="center"/>
    </xf>
    <xf numFmtId="0" fontId="0" fillId="0" borderId="0" xfId="0" applyFont="1">
      <alignment horizontal="center" vertical="center"/>
    </xf>
    <xf numFmtId="0" fontId="102" fillId="0" borderId="46" xfId="0" applyFont="1" applyBorder="1">
      <alignment horizontal="center" vertical="center"/>
    </xf>
    <xf numFmtId="0" fontId="0" fillId="0" borderId="46" xfId="0" applyFont="1" applyBorder="1">
      <alignment horizontal="center" vertical="center"/>
    </xf>
    <xf numFmtId="49" fontId="31" fillId="47" borderId="12" xfId="0" applyFont="1" applyFill="1" applyBorder="1" applyNumberFormat="1">
      <alignment horizontal="right" vertical="center"/>
    </xf>
    <xf numFmtId="49" fontId="22" fillId="36" borderId="37" xfId="0" applyFont="1" applyFill="1" applyBorder="1" applyNumberFormat="1">
      <alignment vertical="top"/>
      <protection locked="0"/>
    </xf>
    <xf numFmtId="0" fontId="22" fillId="0" borderId="12" xfId="0" applyFont="1" applyBorder="1">
      <alignment vertical="top"/>
    </xf>
    <xf numFmtId="49" fontId="22" fillId="41" borderId="23" xfId="0" applyFont="1" applyFill="1" applyBorder="1" applyNumberFormat="1">
      <alignment vertical="top"/>
    </xf>
    <xf numFmtId="49" fontId="22" fillId="41" borderId="12" xfId="0" applyFont="1" applyFill="1" applyBorder="1" applyNumberFormat="1">
      <alignment vertical="top"/>
    </xf>
    <xf numFmtId="0" fontId="0" fillId="0" borderId="32" xfId="0" applyFont="1" applyBorder="1">
      <alignment horizontal="center" vertical="center"/>
    </xf>
    <xf numFmtId="49" fontId="0" fillId="0" borderId="0" xfId="0" applyFont="1" applyNumberFormat="1">
      <alignment vertical="center"/>
    </xf>
    <xf numFmtId="49" fontId="31" fillId="47" borderId="14" xfId="0" applyFont="1" applyFill="1" applyBorder="1" applyNumberFormat="1">
      <alignment horizontal="right" vertical="center"/>
    </xf>
    <xf numFmtId="49" fontId="22" fillId="0" borderId="0" xfId="0" applyFont="1" applyNumberFormat="1">
      <alignment vertical="center"/>
    </xf>
    <xf numFmtId="0" fontId="0" fillId="48" borderId="0" xfId="0" applyFont="1" applyFill="1">
      <alignment horizontal="right" vertical="center"/>
    </xf>
    <xf numFmtId="0" fontId="103" fillId="0" borderId="47" xfId="0" applyFont="1" applyBorder="1">
      <alignment horizontal="left" vertical="center" indent="1"/>
    </xf>
    <xf numFmtId="0" fontId="103" fillId="0" borderId="48" xfId="0" applyFont="1" applyBorder="1">
      <alignment horizontal="left" vertical="center" indent="1"/>
    </xf>
    <xf numFmtId="0" fontId="103" fillId="0" borderId="49" xfId="0" applyFont="1" applyBorder="1">
      <alignment horizontal="left" vertical="center" indent="1"/>
    </xf>
    <xf numFmtId="0" fontId="22" fillId="35" borderId="0" xfId="0" applyFont="1" applyFill="1">
      <alignment vertical="center" wrapText="1"/>
    </xf>
    <xf numFmtId="0" fontId="22" fillId="0" borderId="0" xfId="0" applyFont="1">
      <alignment vertical="center" wrapText="1"/>
    </xf>
    <xf numFmtId="0" fontId="31" fillId="0" borderId="0" xfId="0" applyFont="1">
      <alignment vertical="center" wrapText="1"/>
    </xf>
    <xf numFmtId="49" fontId="22" fillId="0" borderId="0" xfId="0" applyFont="1" applyNumberFormat="1">
      <alignment vertical="top"/>
    </xf>
    <xf numFmtId="0" fontId="46" fillId="0" borderId="0" xfId="0" applyFont="1">
      <alignment vertical="center" wrapText="1"/>
    </xf>
    <xf numFmtId="49" fontId="98" fillId="0" borderId="0" xfId="0" applyFont="1" applyNumberFormat="1">
      <alignment horizontal="center" vertical="center" wrapText="1"/>
    </xf>
    <xf numFmtId="0" fontId="22" fillId="35" borderId="0" xfId="0" applyFont="1" applyFill="1">
      <alignment vertical="center" wrapText="1"/>
    </xf>
    <xf numFmtId="0" fontId="22" fillId="0" borderId="0" xfId="0" applyFont="1">
      <alignment vertical="center" wrapText="1"/>
    </xf>
    <xf numFmtId="0" fontId="49" fillId="35" borderId="39" xfId="0" applyFont="1" applyFill="1" applyBorder="1">
      <alignment horizontal="center" wrapText="1"/>
    </xf>
    <xf numFmtId="49" fontId="73" fillId="0" borderId="39" xfId="0" applyFont="1" applyBorder="1" applyNumberFormat="1">
      <alignment vertical="top"/>
    </xf>
    <xf numFmtId="0" fontId="0" fillId="0" borderId="12" xfId="0" applyFont="1" applyBorder="1">
      <alignment horizontal="center" vertical="center" wrapText="1"/>
    </xf>
    <xf numFmtId="0" fontId="22" fillId="0" borderId="0" xfId="0" applyFont="1">
      <alignment horizontal="left" vertical="center" wrapText="1" indent="3"/>
    </xf>
    <xf numFmtId="0" fontId="22" fillId="0" borderId="0" xfId="0" applyFont="1">
      <alignment horizontal="left" vertical="center" wrapText="1" indent="3"/>
    </xf>
    <xf numFmtId="0" fontId="22" fillId="0" borderId="0" xfId="0" applyFont="1">
      <alignment vertical="center" wrapText="1"/>
    </xf>
    <xf numFmtId="0" fontId="31" fillId="0" borderId="0" xfId="0" applyFont="1">
      <alignment vertical="center" wrapText="1"/>
    </xf>
    <xf numFmtId="49" fontId="22" fillId="0" borderId="0" xfId="0" applyFont="1" applyNumberFormat="1">
      <alignment vertical="top"/>
    </xf>
    <xf numFmtId="0" fontId="46" fillId="0" borderId="0" xfId="0" applyFont="1">
      <alignment vertical="center" wrapText="1"/>
    </xf>
    <xf numFmtId="0" fontId="22" fillId="0" borderId="12" xfId="0" applyFont="1" applyBorder="1">
      <alignment horizontal="center" vertical="center" wrapText="1"/>
    </xf>
    <xf numFmtId="0" fontId="22" fillId="0" borderId="0" xfId="0" applyFont="1">
      <alignment vertical="center" wrapText="1"/>
    </xf>
    <xf numFmtId="0" fontId="22" fillId="35" borderId="39" xfId="0" applyFont="1" applyFill="1" applyBorder="1">
      <alignment vertical="center" wrapText="1"/>
    </xf>
    <xf numFmtId="0" fontId="22" fillId="0" borderId="0" xfId="0" applyFont="1">
      <alignment vertical="center" wrapText="1"/>
    </xf>
    <xf numFmtId="0" fontId="31" fillId="0" borderId="0" xfId="0" applyFont="1">
      <alignment vertical="center" wrapText="1"/>
    </xf>
    <xf numFmtId="49" fontId="22" fillId="0" borderId="0" xfId="0" applyFont="1" applyNumberFormat="1">
      <alignment vertical="top"/>
    </xf>
    <xf numFmtId="0" fontId="46" fillId="0" borderId="0" xfId="0" applyFont="1">
      <alignment vertical="center" wrapText="1"/>
    </xf>
    <xf numFmtId="0" fontId="22" fillId="0" borderId="0" xfId="0" applyFont="1">
      <alignment vertical="center" wrapText="1"/>
    </xf>
    <xf numFmtId="0" fontId="22" fillId="0" borderId="0" xfId="0" applyFont="1">
      <alignment vertical="center" wrapText="1"/>
    </xf>
    <xf numFmtId="0" fontId="22" fillId="35" borderId="39" xfId="0" applyFont="1" applyFill="1" applyBorder="1">
      <alignment vertical="center" wrapText="1"/>
    </xf>
    <xf numFmtId="0" fontId="22" fillId="39" borderId="12" xfId="0" applyFont="1" applyFill="1" applyBorder="1">
      <alignment horizontal="left" vertical="center" wrapText="1" indent="1"/>
      <protection locked="0"/>
    </xf>
    <xf numFmtId="49" fontId="46" fillId="47" borderId="0" xfId="0" applyFont="1" applyFill="1" applyNumberFormat="1">
      <alignment horizontal="center" vertical="center" wrapText="1"/>
    </xf>
    <xf numFmtId="0" fontId="22" fillId="0" borderId="12" xfId="0" applyFont="1" applyBorder="1">
      <alignment horizontal="center" vertical="center" wrapText="1"/>
    </xf>
    <xf numFmtId="0" fontId="22" fillId="0" borderId="12" xfId="0" applyFont="1" applyBorder="1">
      <alignment horizontal="center" vertical="center" wrapText="1"/>
    </xf>
    <xf numFmtId="0" fontId="22" fillId="0" borderId="0" xfId="0" applyFont="1">
      <alignment vertical="center" wrapText="1"/>
    </xf>
    <xf numFmtId="0" fontId="31" fillId="0" borderId="0" xfId="0" applyFont="1">
      <alignment vertical="center" wrapText="1"/>
    </xf>
    <xf numFmtId="49" fontId="22" fillId="0" borderId="0" xfId="0" applyFont="1" applyNumberFormat="1">
      <alignment vertical="top"/>
    </xf>
    <xf numFmtId="49" fontId="104" fillId="0" borderId="16" xfId="0" applyFont="1" applyBorder="1" applyNumberFormat="1">
      <alignment vertical="top"/>
    </xf>
    <xf numFmtId="0" fontId="0" fillId="0" borderId="0" xfId="0" applyFont="1">
      <alignment vertical="top"/>
    </xf>
    <xf numFmtId="0" fontId="46" fillId="0" borderId="0" xfId="0" applyFont="1">
      <alignment vertical="center" wrapText="1"/>
    </xf>
    <xf numFmtId="49" fontId="53" fillId="39" borderId="12" xfId="0" applyFont="1" applyFill="1" applyBorder="1" applyNumberFormat="1">
      <alignment horizontal="left" vertical="center" wrapText="1"/>
      <protection locked="0"/>
    </xf>
    <xf numFmtId="0" fontId="22" fillId="0" borderId="14" xfId="0" applyFont="1" applyBorder="1">
      <alignment horizontal="left" vertical="center"/>
    </xf>
    <xf numFmtId="0" fontId="0" fillId="0" borderId="14" xfId="0" applyFont="1" applyBorder="1">
      <alignment horizontal="left" vertical="center"/>
    </xf>
    <xf numFmtId="49" fontId="53" fillId="39" borderId="12" xfId="0" applyFont="1" applyFill="1" applyBorder="1" applyNumberFormat="1">
      <alignment horizontal="left" vertical="center" wrapText="1"/>
      <protection locked="0"/>
    </xf>
    <xf numFmtId="0" fontId="22" fillId="35" borderId="26" xfId="0" applyFont="1" applyFill="1" applyBorder="1">
      <alignment horizontal="right" vertical="center" wrapText="1" indent="1"/>
    </xf>
    <xf numFmtId="49" fontId="46" fillId="0" borderId="0" xfId="0" applyFont="1" applyNumberFormat="1">
      <alignment horizontal="center" vertical="center" wrapText="1"/>
    </xf>
    <xf numFmtId="49" fontId="47" fillId="0" borderId="0" xfId="0" applyFont="1" applyNumberFormat="1">
      <alignment horizontal="center" vertical="center" wrapText="1"/>
    </xf>
    <xf numFmtId="49" fontId="39" fillId="37" borderId="15" xfId="0" applyFont="1" applyFill="1" applyBorder="1" applyNumberFormat="1">
      <alignment horizontal="left" vertical="center" indent="1"/>
    </xf>
    <xf numFmtId="4" fontId="22" fillId="39" borderId="31" xfId="0" applyFont="1" applyFill="1" applyBorder="1" applyNumberFormat="1">
      <alignment horizontal="right" vertical="center" wrapText="1"/>
      <protection locked="0"/>
    </xf>
    <xf numFmtId="0" fontId="22" fillId="35" borderId="0" xfId="0" applyFont="1" applyFill="1">
      <alignment vertical="center" wrapText="1"/>
    </xf>
    <xf numFmtId="0" fontId="22" fillId="0" borderId="0" xfId="0" applyFont="1">
      <alignment vertical="center"/>
    </xf>
    <xf numFmtId="0" fontId="22" fillId="0" borderId="0" xfId="0" applyFont="1">
      <alignment vertical="center" wrapText="1"/>
    </xf>
    <xf numFmtId="0" fontId="22" fillId="37" borderId="50" xfId="0" applyFont="1" applyFill="1" applyBorder="1">
      <alignment vertical="center" wrapText="1"/>
    </xf>
    <xf numFmtId="0" fontId="22" fillId="37" borderId="51" xfId="0" applyFont="1" applyFill="1" applyBorder="1">
      <alignment vertical="center" wrapText="1"/>
    </xf>
    <xf numFmtId="49" fontId="105" fillId="37" borderId="14" xfId="0" applyFont="1" applyFill="1" applyBorder="1" applyNumberFormat="1">
      <alignment horizontal="left" vertical="center" indent="1"/>
    </xf>
    <xf numFmtId="49" fontId="105" fillId="37" borderId="15" xfId="0" applyFont="1" applyFill="1" applyBorder="1" applyNumberFormat="1">
      <alignment horizontal="left" vertical="center" indent="1"/>
    </xf>
    <xf numFmtId="49" fontId="94" fillId="37" borderId="43" xfId="0" applyFont="1" applyFill="1" applyBorder="1" applyNumberFormat="1">
      <alignment horizontal="center" vertical="center"/>
    </xf>
    <xf numFmtId="49" fontId="105" fillId="37" borderId="43" xfId="0" applyFont="1" applyFill="1" applyBorder="1" applyNumberFormat="1">
      <alignment horizontal="left" vertical="center" indent="1"/>
    </xf>
    <xf numFmtId="0" fontId="44" fillId="40" borderId="12" xfId="0" applyFont="1" applyFill="1" applyBorder="1">
      <alignment horizontal="left" vertical="center" wrapText="1" indent="1"/>
    </xf>
    <xf numFmtId="49" fontId="44" fillId="37" borderId="15" xfId="0" applyFont="1" applyFill="1" applyBorder="1" applyNumberFormat="1">
      <alignment vertical="top" wrapText="1"/>
    </xf>
    <xf numFmtId="49" fontId="44" fillId="37" borderId="13" xfId="0" applyFont="1" applyFill="1" applyBorder="1" applyNumberFormat="1">
      <alignment vertical="top" wrapText="1"/>
    </xf>
    <xf numFmtId="49" fontId="44" fillId="37" borderId="52" xfId="0" applyFont="1" applyFill="1" applyBorder="1" applyNumberFormat="1">
      <alignment vertical="top" wrapText="1"/>
    </xf>
    <xf numFmtId="49" fontId="105" fillId="37" borderId="52" xfId="0" applyFont="1" applyFill="1" applyBorder="1" applyNumberFormat="1">
      <alignment horizontal="left" vertical="center" indent="1"/>
    </xf>
    <xf numFmtId="0" fontId="22" fillId="35" borderId="39" xfId="0" applyFont="1" applyFill="1" applyBorder="1">
      <alignment vertical="center" wrapText="1"/>
    </xf>
    <xf numFmtId="0" fontId="0" fillId="0" borderId="49" xfId="0" applyFont="1" applyBorder="1">
      <alignment horizontal="left" vertical="center" wrapText="1"/>
    </xf>
    <xf numFmtId="0" fontId="22" fillId="0" borderId="49" xfId="0" applyFont="1" applyBorder="1">
      <alignment vertical="center" wrapText="1"/>
    </xf>
    <xf numFmtId="0" fontId="22" fillId="0" borderId="53" xfId="0" applyFont="1" applyBorder="1">
      <alignment vertical="center" wrapText="1"/>
    </xf>
    <xf numFmtId="0" fontId="22" fillId="0" borderId="54" xfId="0" applyFont="1" applyBorder="1">
      <alignment vertical="center" wrapText="1"/>
    </xf>
    <xf numFmtId="0" fontId="22" fillId="40" borderId="12" xfId="0" applyFont="1" applyFill="1" applyBorder="1">
      <alignment horizontal="left" vertical="center" wrapText="1" indent="1"/>
    </xf>
    <xf numFmtId="0" fontId="0" fillId="37" borderId="50" xfId="0" applyFont="1" applyFill="1" applyBorder="1">
      <alignment horizontal="left" vertical="center"/>
    </xf>
    <xf numFmtId="0" fontId="22" fillId="35" borderId="12" xfId="0" applyFont="1" applyFill="1" applyBorder="1">
      <alignment horizontal="center" vertical="center" wrapText="1"/>
    </xf>
    <xf numFmtId="49" fontId="35" fillId="0" borderId="12" xfId="0" applyFont="1" applyBorder="1" applyNumberFormat="1">
      <alignment horizontal="center" vertical="center"/>
    </xf>
    <xf numFmtId="49" fontId="35" fillId="41" borderId="12" xfId="0" applyFont="1" applyFill="1" applyBorder="1" applyNumberFormat="1">
      <alignment horizontal="center" vertical="center"/>
    </xf>
    <xf numFmtId="0" fontId="35" fillId="0" borderId="12" xfId="0" applyFont="1" applyBorder="1">
      <alignment horizontal="center" vertical="center"/>
    </xf>
    <xf numFmtId="49" fontId="35" fillId="0" borderId="23" xfId="0" applyFont="1" applyBorder="1" applyNumberFormat="1">
      <alignment horizontal="center" vertical="center"/>
    </xf>
    <xf numFmtId="49" fontId="22" fillId="0" borderId="0" xfId="0" applyFont="1" applyNumberFormat="1">
      <alignment vertical="center"/>
    </xf>
    <xf numFmtId="49" fontId="46" fillId="0" borderId="17" xfId="0" applyFont="1" applyBorder="1" applyNumberFormat="1">
      <alignment horizontal="center" vertical="center"/>
    </xf>
    <xf numFmtId="49" fontId="22" fillId="0" borderId="17" xfId="0" applyFont="1" applyBorder="1" applyNumberFormat="1">
      <alignment horizontal="center" vertical="center"/>
    </xf>
    <xf numFmtId="0" fontId="22" fillId="0" borderId="17" xfId="0" applyFont="1" applyBorder="1">
      <alignment horizontal="right" vertical="center"/>
    </xf>
    <xf numFmtId="0" fontId="22" fillId="0" borderId="17" xfId="0" applyFont="1" applyBorder="1">
      <alignment horizontal="center" vertical="center"/>
    </xf>
    <xf numFmtId="0" fontId="22" fillId="0" borderId="12" xfId="0" applyFont="1" applyBorder="1">
      <alignment horizontal="right" vertical="center"/>
    </xf>
    <xf numFmtId="49" fontId="22" fillId="0" borderId="0" xfId="0" applyFont="1" applyNumberFormat="1">
      <alignment vertical="center"/>
    </xf>
    <xf numFmtId="49" fontId="22" fillId="0" borderId="55" xfId="0" applyFont="1" applyBorder="1" applyNumberFormat="1">
      <alignment horizontal="center" vertical="center"/>
    </xf>
    <xf numFmtId="0" fontId="22" fillId="0" borderId="55" xfId="0" applyFont="1" applyBorder="1">
      <alignment horizontal="right" vertical="center"/>
    </xf>
    <xf numFmtId="0" fontId="22" fillId="0" borderId="55" xfId="0" applyFont="1" applyBorder="1">
      <alignment horizontal="center" vertical="center"/>
    </xf>
    <xf numFmtId="0" fontId="22" fillId="0" borderId="15" xfId="0" applyFont="1" applyBorder="1">
      <alignment horizontal="right" vertical="center"/>
    </xf>
    <xf numFmtId="0" fontId="22" fillId="0" borderId="13" xfId="0" applyFont="1" applyBorder="1">
      <alignment horizontal="right" vertical="center"/>
    </xf>
    <xf numFmtId="0" fontId="22" fillId="35" borderId="12" xfId="0" applyFont="1" applyFill="1" applyBorder="1">
      <alignment horizontal="center" vertical="center"/>
    </xf>
    <xf numFmtId="0" fontId="22" fillId="40" borderId="12" xfId="0" applyFont="1" applyFill="1" applyBorder="1">
      <alignment horizontal="left" vertical="center" wrapText="1" indent="1"/>
    </xf>
    <xf numFmtId="0" fontId="22" fillId="39" borderId="12" xfId="0" applyFont="1" applyFill="1" applyBorder="1">
      <alignment horizontal="left" vertical="center" wrapText="1" indent="1"/>
      <protection locked="0"/>
    </xf>
    <xf numFmtId="0" fontId="22" fillId="41" borderId="12" xfId="0" applyFont="1" applyFill="1" applyBorder="1">
      <alignment horizontal="right" vertical="center"/>
    </xf>
    <xf numFmtId="4" fontId="22" fillId="36" borderId="12" xfId="0" applyFont="1" applyFill="1" applyBorder="1" applyNumberFormat="1">
      <alignment horizontal="right" vertical="center"/>
      <protection locked="0"/>
    </xf>
    <xf numFmtId="49" fontId="39" fillId="37" borderId="56"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52" borderId="13" xfId="0" applyFont="1" applyFill="1" applyBorder="1" applyNumberFormat="1">
      <alignment horizontal="left" vertical="center" indent="1"/>
    </xf>
    <xf numFmtId="49" fontId="22" fillId="0" borderId="0" xfId="0" applyFont="1" applyNumberFormat="1">
      <alignment vertical="top"/>
    </xf>
    <xf numFmtId="0" fontId="22" fillId="48" borderId="0" xfId="0" applyFont="1" applyFill="1">
      <alignment horizontal="left" vertical="center"/>
    </xf>
    <xf numFmtId="49" fontId="22" fillId="0" borderId="0" xfId="0" applyFont="1" applyNumberFormat="1">
      <alignment vertical="center" wrapText="1"/>
    </xf>
    <xf numFmtId="0" fontId="22" fillId="0" borderId="0" xfId="0" applyFont="1">
      <alignment horizontal="right" vertical="center" wrapText="1"/>
    </xf>
    <xf numFmtId="0" fontId="47" fillId="0" borderId="0" xfId="0" applyFont="1">
      <alignment horizontal="center" vertical="center" wrapText="1"/>
    </xf>
    <xf numFmtId="0" fontId="0" fillId="0" borderId="12" xfId="0" applyFont="1" applyBorder="1">
      <alignment horizontal="center" vertical="center" wrapText="1"/>
    </xf>
    <xf numFmtId="0" fontId="0" fillId="0" borderId="12" xfId="0" applyFont="1" applyBorder="1">
      <alignment horizontal="center" vertical="center" wrapText="1"/>
    </xf>
    <xf numFmtId="49" fontId="22" fillId="0" borderId="12" xfId="0" applyFont="1" applyBorder="1" applyNumberFormat="1">
      <alignment horizontal="left" vertical="center" wrapText="1"/>
    </xf>
    <xf numFmtId="0" fontId="22" fillId="35" borderId="12" xfId="0" applyFont="1" applyFill="1" applyBorder="1">
      <alignment horizontal="left" vertical="center" wrapText="1"/>
    </xf>
    <xf numFmtId="49" fontId="0" fillId="0" borderId="12" xfId="0" applyFont="1" applyBorder="1" applyNumberFormat="1">
      <alignment horizontal="center" vertical="center" wrapText="1"/>
    </xf>
    <xf numFmtId="49" fontId="0" fillId="0" borderId="12" xfId="0" applyFont="1" applyBorder="1" applyNumberFormat="1">
      <alignment horizontal="center" vertical="center"/>
    </xf>
    <xf numFmtId="0" fontId="22" fillId="35" borderId="19" xfId="0" applyFont="1" applyFill="1" applyBorder="1">
      <alignment vertical="center" wrapText="1"/>
    </xf>
    <xf numFmtId="49" fontId="47" fillId="0" borderId="0" xfId="0" applyFont="1" applyNumberFormat="1">
      <alignment vertical="top"/>
    </xf>
    <xf numFmtId="0" fontId="47" fillId="0" borderId="39" xfId="0" applyFont="1" applyBorder="1">
      <alignment vertical="center" wrapText="1"/>
    </xf>
    <xf numFmtId="49" fontId="0" fillId="0" borderId="12" xfId="0" applyFont="1" applyBorder="1" applyNumberFormat="1">
      <alignment horizontal="center" vertical="center"/>
    </xf>
    <xf numFmtId="49" fontId="0" fillId="0" borderId="12" xfId="0" applyFont="1" applyBorder="1" applyNumberFormat="1">
      <alignment horizontal="center" vertical="center" wrapText="1"/>
    </xf>
    <xf numFmtId="49" fontId="0" fillId="34" borderId="12" xfId="0" applyFont="1" applyFill="1" applyBorder="1" applyNumberFormat="1">
      <alignment horizontal="center" vertical="center"/>
    </xf>
    <xf numFmtId="49" fontId="22" fillId="0" borderId="22" xfId="0" applyFont="1" applyBorder="1" applyNumberFormat="1">
      <alignment vertical="top"/>
    </xf>
    <xf numFmtId="0" fontId="22" fillId="0" borderId="22" xfId="0" applyFont="1" applyBorder="1">
      <alignment vertical="center" wrapText="1"/>
    </xf>
    <xf numFmtId="4" fontId="0" fillId="36" borderId="12" xfId="0" applyFont="1" applyFill="1" applyBorder="1" applyNumberFormat="1">
      <alignment horizontal="right" vertical="center" wrapText="1"/>
      <protection locked="0"/>
    </xf>
    <xf numFmtId="4" fontId="0" fillId="34" borderId="12" xfId="0" applyFont="1" applyFill="1" applyBorder="1" applyNumberFormat="1">
      <alignment horizontal="right" vertical="center" wrapText="1"/>
    </xf>
    <xf numFmtId="49" fontId="0" fillId="0" borderId="12" xfId="0" applyFont="1" applyBorder="1" applyNumberFormat="1">
      <alignment horizontal="left" vertical="center" wrapText="1" indent="2"/>
    </xf>
    <xf numFmtId="49" fontId="0" fillId="0" borderId="12" xfId="0" applyFont="1" applyBorder="1" applyNumberFormat="1">
      <alignment horizontal="left" vertical="center" wrapText="1" indent="3"/>
    </xf>
    <xf numFmtId="49" fontId="0" fillId="0" borderId="12" xfId="0" applyFont="1" applyBorder="1" applyNumberFormat="1">
      <alignment horizontal="left" vertical="center" wrapText="1"/>
    </xf>
    <xf numFmtId="0" fontId="22" fillId="0" borderId="38" xfId="0" applyFont="1" applyBorder="1">
      <alignment vertical="center"/>
    </xf>
    <xf numFmtId="49" fontId="39" fillId="37" borderId="15" xfId="0" applyFont="1" applyFill="1" applyBorder="1" applyNumberFormat="1">
      <alignment horizontal="left" vertical="center" indent="1"/>
    </xf>
    <xf numFmtId="49" fontId="22" fillId="39" borderId="17" xfId="0" applyFont="1" applyFill="1" applyBorder="1" applyNumberFormat="1">
      <alignment horizontal="left" vertical="center" wrapText="1" indent="1"/>
      <protection locked="0"/>
    </xf>
    <xf numFmtId="0" fontId="45" fillId="0" borderId="0" xfId="0" applyFont="1">
      <alignment vertical="center" wrapText="1"/>
    </xf>
    <xf numFmtId="0" fontId="22" fillId="35" borderId="27" xfId="0" applyFont="1" applyFill="1" applyBorder="1">
      <alignment vertical="center" wrapText="1"/>
    </xf>
    <xf numFmtId="0" fontId="47" fillId="35" borderId="19" xfId="0" applyFont="1" applyFill="1" applyBorder="1">
      <alignment horizontal="center" vertical="center" wrapText="1"/>
    </xf>
    <xf numFmtId="49" fontId="72" fillId="0" borderId="0" xfId="0" applyFont="1" applyNumberFormat="1">
      <alignment vertical="center" wrapText="1"/>
    </xf>
    <xf numFmtId="0" fontId="106" fillId="35" borderId="0" xfId="0" applyFont="1" applyFill="1">
      <alignment vertical="center" wrapText="1"/>
    </xf>
    <xf numFmtId="0" fontId="22" fillId="0" borderId="0" xfId="0" applyFont="1">
      <alignment vertical="center"/>
    </xf>
    <xf numFmtId="49" fontId="47" fillId="35" borderId="0" xfId="0" applyFont="1" applyFill="1" applyNumberFormat="1">
      <alignment horizontal="center" vertical="center" wrapText="1"/>
    </xf>
    <xf numFmtId="0" fontId="22" fillId="0" borderId="0" xfId="0" applyFont="1">
      <alignment horizontal="left" vertical="center" wrapText="1"/>
    </xf>
    <xf numFmtId="0" fontId="47" fillId="0" borderId="0" xfId="0" applyFont="1">
      <alignment vertical="center"/>
    </xf>
    <xf numFmtId="0" fontId="22" fillId="0" borderId="0" xfId="0" applyFont="1">
      <alignment horizontal="left" vertical="center" wrapText="1" indent="1"/>
    </xf>
    <xf numFmtId="0" fontId="22" fillId="0" borderId="0" xfId="0" applyFont="1">
      <alignment horizontal="right" vertical="top" wrapText="1"/>
    </xf>
    <xf numFmtId="0" fontId="107" fillId="35" borderId="0" xfId="0" applyFont="1" applyFill="1">
      <alignment vertical="center" wrapText="1"/>
    </xf>
    <xf numFmtId="49" fontId="80" fillId="35" borderId="19" xfId="0" applyFont="1" applyFill="1" applyBorder="1" applyNumberFormat="1">
      <alignment horizontal="center" vertical="center" wrapText="1"/>
    </xf>
    <xf numFmtId="0" fontId="80" fillId="35" borderId="19" xfId="0" applyFont="1" applyFill="1" applyBorder="1">
      <alignment horizontal="center" vertical="center" wrapText="1"/>
    </xf>
    <xf numFmtId="199" fontId="22" fillId="36" borderId="12" xfId="0" applyFont="1" applyFill="1" applyBorder="1" applyNumberFormat="1">
      <alignment horizontal="right" vertical="center" wrapText="1"/>
      <protection locked="0"/>
    </xf>
    <xf numFmtId="0" fontId="44" fillId="0" borderId="12" xfId="0" applyFont="1" applyBorder="1">
      <alignment vertical="top" wrapText="1"/>
    </xf>
    <xf numFmtId="0" fontId="22" fillId="0" borderId="0" xfId="0" applyFont="1">
      <alignment vertical="center"/>
    </xf>
    <xf numFmtId="0" fontId="108" fillId="0" borderId="0" xfId="0" applyFont="1">
      <alignment vertical="center"/>
    </xf>
    <xf numFmtId="0" fontId="108" fillId="0" borderId="0" xfId="0" applyFont="1">
      <alignment vertical="center"/>
    </xf>
    <xf numFmtId="0" fontId="22" fillId="0" borderId="0" xfId="0" applyFont="1">
      <alignment vertical="center"/>
    </xf>
    <xf numFmtId="0" fontId="22" fillId="0" borderId="0" xfId="0" applyFont="1">
      <alignment vertical="center"/>
    </xf>
    <xf numFmtId="0" fontId="108" fillId="0" borderId="0" xfId="0" applyFont="1">
      <alignment vertical="center"/>
    </xf>
    <xf numFmtId="0" fontId="22" fillId="0" borderId="0" xfId="0" applyFont="1">
      <alignment vertical="center"/>
    </xf>
    <xf numFmtId="0" fontId="22" fillId="0" borderId="0" xfId="0" applyFont="1">
      <alignment vertical="center"/>
    </xf>
    <xf numFmtId="0" fontId="22" fillId="0" borderId="0" xfId="0" applyFont="1">
      <alignment horizontal="left" vertical="center" indent="1"/>
    </xf>
    <xf numFmtId="49" fontId="109" fillId="37" borderId="15" xfId="0" applyFont="1" applyFill="1" applyBorder="1" applyNumberFormat="1">
      <alignment horizontal="left" vertical="center" indent="3"/>
    </xf>
    <xf numFmtId="49" fontId="72" fillId="37" borderId="15" xfId="0" applyFont="1" applyFill="1" applyBorder="1" applyNumberFormat="1">
      <alignment horizontal="center" vertical="center" wrapText="1"/>
    </xf>
    <xf numFmtId="49" fontId="67" fillId="37" borderId="15" xfId="0" applyFont="1" applyFill="1" applyBorder="1" applyNumberFormat="1">
      <alignment horizontal="center" vertical="center" wrapText="1"/>
    </xf>
    <xf numFmtId="49" fontId="67" fillId="37" borderId="13" xfId="0" applyFont="1" applyFill="1" applyBorder="1" applyNumberFormat="1">
      <alignment horizontal="center" vertical="center" wrapText="1"/>
    </xf>
    <xf numFmtId="49" fontId="109" fillId="37" borderId="15" xfId="0" applyFont="1" applyFill="1" applyBorder="1" applyNumberFormat="1">
      <alignment horizontal="left" vertical="center" indent="2"/>
    </xf>
    <xf numFmtId="49" fontId="109" fillId="37" borderId="15" xfId="0" applyFont="1" applyFill="1" applyBorder="1" applyNumberFormat="1">
      <alignment horizontal="left" vertical="center" indent="1"/>
    </xf>
    <xf numFmtId="49" fontId="109" fillId="37" borderId="15" xfId="0" applyFont="1" applyFill="1" applyBorder="1" applyNumberFormat="1">
      <alignment horizontal="left" vertical="center"/>
    </xf>
    <xf numFmtId="0" fontId="22" fillId="35" borderId="0" xfId="0" applyFont="1" applyFill="1">
      <alignment horizontal="left" vertical="center" wrapText="1"/>
    </xf>
    <xf numFmtId="0" fontId="0" fillId="0" borderId="0" xfId="0" applyFont="1">
      <alignment horizontal="left" vertical="center"/>
    </xf>
    <xf numFmtId="49" fontId="80" fillId="35" borderId="19" xfId="0" applyFont="1" applyFill="1" applyBorder="1" applyNumberFormat="1">
      <alignment horizontal="left" vertical="center" wrapText="1"/>
    </xf>
    <xf numFmtId="49" fontId="73" fillId="37" borderId="14" xfId="0" applyFont="1" applyFill="1" applyBorder="1" applyNumberFormat="1">
      <alignment horizontal="left" vertical="center"/>
    </xf>
    <xf numFmtId="49" fontId="101" fillId="37" borderId="14" xfId="0" applyFont="1" applyFill="1" applyBorder="1" applyNumberFormat="1">
      <alignment horizontal="left" vertical="center"/>
    </xf>
    <xf numFmtId="49" fontId="67" fillId="37" borderId="14" xfId="0" applyFont="1" applyFill="1" applyBorder="1" applyNumberFormat="1">
      <alignment horizontal="left" vertical="top"/>
    </xf>
    <xf numFmtId="0" fontId="0" fillId="48" borderId="0" xfId="0" applyFont="1" applyFill="1">
      <alignment horizontal="right" vertical="center"/>
    </xf>
    <xf numFmtId="0" fontId="47" fillId="0" borderId="12" xfId="0" applyFont="1" applyBorder="1">
      <alignment horizontal="center" vertical="center"/>
    </xf>
    <xf numFmtId="0" fontId="0" fillId="0" borderId="0" xfId="0" applyFont="1">
      <alignment vertical="center"/>
    </xf>
    <xf numFmtId="0" fontId="22" fillId="0" borderId="12" xfId="0" applyFont="1" applyBorder="1">
      <alignment horizontal="center" vertical="center" wrapText="1"/>
    </xf>
    <xf numFmtId="0" fontId="0" fillId="0" borderId="0" xfId="0" applyFont="1">
      <alignment horizontal="left" vertical="top" wrapText="1"/>
    </xf>
    <xf numFmtId="49" fontId="22" fillId="0" borderId="0" xfId="0" applyFont="1" applyNumberFormat="1">
      <alignment vertical="center" wrapText="1"/>
    </xf>
    <xf numFmtId="0" fontId="22" fillId="0" borderId="0" xfId="0" applyFont="1">
      <alignment horizontal="right" vertical="center" wrapText="1"/>
    </xf>
    <xf numFmtId="0" fontId="22" fillId="0" borderId="0" xfId="0" applyFont="1">
      <alignment horizontal="left" vertical="top" wrapText="1"/>
    </xf>
    <xf numFmtId="0" fontId="80" fillId="35" borderId="19" xfId="0" applyFont="1" applyFill="1" applyBorder="1">
      <alignment horizontal="center" vertical="center" wrapText="1"/>
    </xf>
    <xf numFmtId="0" fontId="22" fillId="0" borderId="0" xfId="0" applyFont="1">
      <alignment horizontal="center" vertical="center" wrapText="1"/>
    </xf>
    <xf numFmtId="0" fontId="47" fillId="0" borderId="0" xfId="0" applyFont="1">
      <alignment horizontal="center" vertical="center" wrapText="1"/>
    </xf>
    <xf numFmtId="0" fontId="0" fillId="0" borderId="12" xfId="0" applyFont="1" applyBorder="1">
      <alignment horizontal="center" vertical="center" wrapText="1"/>
    </xf>
    <xf numFmtId="0" fontId="22" fillId="35" borderId="12" xfId="0" applyFont="1" applyFill="1" applyBorder="1">
      <alignment horizontal="left" vertical="center" wrapText="1"/>
    </xf>
    <xf numFmtId="49" fontId="22" fillId="0" borderId="12" xfId="0" applyFont="1" applyBorder="1" applyNumberFormat="1">
      <alignment horizontal="left" vertical="center" wrapText="1"/>
    </xf>
    <xf numFmtId="0" fontId="54" fillId="48" borderId="0" xfId="0" applyFont="1" applyFill="1">
      <alignment horizontal="left" vertical="center"/>
    </xf>
    <xf numFmtId="49" fontId="22" fillId="0" borderId="20" xfId="0" applyFont="1" applyBorder="1" applyNumberFormat="1">
      <alignment horizontal="left" vertical="center" wrapText="1"/>
    </xf>
    <xf numFmtId="0" fontId="39" fillId="0" borderId="0" xfId="0" applyFont="1">
      <alignment horizontal="left" vertical="center"/>
    </xf>
    <xf numFmtId="0" fontId="39" fillId="0" borderId="24" xfId="0" applyFont="1" applyBorder="1">
      <alignment horizontal="left" vertical="center"/>
    </xf>
    <xf numFmtId="0" fontId="39" fillId="0" borderId="30" xfId="0" applyFont="1" applyBorder="1">
      <alignment horizontal="left" vertical="center"/>
    </xf>
    <xf numFmtId="0" fontId="39" fillId="0" borderId="27" xfId="0" applyFont="1" applyBorder="1">
      <alignment horizontal="left" vertical="center"/>
    </xf>
    <xf numFmtId="0" fontId="0" fillId="0" borderId="27" xfId="0" applyFont="1" applyBorder="1">
      <alignment vertical="center"/>
    </xf>
    <xf numFmtId="0" fontId="39" fillId="0" borderId="29" xfId="0" applyFont="1" applyBorder="1">
      <alignment horizontal="left" vertical="center"/>
    </xf>
    <xf numFmtId="49" fontId="22" fillId="0" borderId="0" xfId="0" applyFont="1" applyNumberFormat="1">
      <alignment vertical="center" wrapText="1"/>
    </xf>
    <xf numFmtId="0" fontId="22" fillId="0" borderId="0" xfId="0" applyFont="1">
      <alignment horizontal="center" vertical="center" wrapText="1"/>
    </xf>
    <xf numFmtId="0" fontId="47" fillId="0" borderId="0" xfId="0" applyFont="1">
      <alignment horizontal="center" vertical="center" wrapText="1"/>
    </xf>
    <xf numFmtId="49" fontId="22" fillId="0" borderId="12" xfId="0" applyFont="1" applyBorder="1" applyNumberFormat="1">
      <alignment horizontal="left" vertical="center" wrapText="1"/>
    </xf>
    <xf numFmtId="0" fontId="44" fillId="0" borderId="17" xfId="0" applyFont="1" applyBorder="1">
      <alignment vertical="top" wrapText="1"/>
    </xf>
    <xf numFmtId="0" fontId="0" fillId="0" borderId="0" xfId="0" applyFont="1">
      <alignment vertical="center"/>
    </xf>
    <xf numFmtId="0" fontId="22" fillId="35" borderId="12" xfId="0" applyFont="1" applyFill="1" applyBorder="1">
      <alignment horizontal="left" vertical="center" wrapText="1"/>
    </xf>
    <xf numFmtId="0" fontId="22" fillId="0" borderId="0" xfId="0" applyFont="1">
      <alignment horizontal="center" vertical="center"/>
    </xf>
    <xf numFmtId="49" fontId="22" fillId="0" borderId="0" xfId="0" applyFont="1" applyNumberFormat="1">
      <alignment vertical="center" wrapText="1"/>
    </xf>
    <xf numFmtId="0" fontId="80" fillId="35" borderId="19" xfId="0" applyFont="1" applyFill="1" applyBorder="1">
      <alignment horizontal="center" vertical="center" wrapText="1"/>
    </xf>
    <xf numFmtId="0" fontId="0" fillId="0" borderId="12" xfId="0" applyFont="1" applyBorder="1">
      <alignment horizontal="center" vertical="center" wrapText="1"/>
    </xf>
    <xf numFmtId="0" fontId="47" fillId="0" borderId="0" xfId="0" applyFont="1">
      <alignment horizontal="left" vertical="center" indent="1"/>
    </xf>
    <xf numFmtId="0" fontId="47" fillId="0" borderId="0" xfId="0" applyFont="1">
      <alignment horizontal="left" vertical="center" wrapText="1"/>
    </xf>
    <xf numFmtId="49" fontId="47" fillId="0" borderId="0" xfId="0" applyFont="1" applyNumberFormat="1">
      <alignment vertical="top"/>
    </xf>
    <xf numFmtId="49" fontId="107" fillId="0" borderId="0" xfId="0" applyFont="1" applyNumberFormat="1">
      <alignment vertical="top"/>
    </xf>
    <xf numFmtId="49" fontId="97" fillId="0" borderId="19" xfId="0" applyFont="1" applyBorder="1" applyNumberFormat="1">
      <alignment horizontal="left" vertical="center"/>
    </xf>
    <xf numFmtId="49" fontId="47" fillId="0" borderId="19" xfId="0" applyFont="1" applyBorder="1" applyNumberFormat="1">
      <alignment horizontal="left" vertical="center" indent="3"/>
    </xf>
    <xf numFmtId="49" fontId="47" fillId="0" borderId="19" xfId="0" applyFont="1" applyBorder="1" applyNumberFormat="1">
      <alignment horizontal="center" vertical="center" wrapText="1"/>
    </xf>
    <xf numFmtId="49" fontId="47" fillId="0" borderId="0" xfId="0" applyFont="1" applyNumberFormat="1">
      <alignment horizontal="left" vertical="center"/>
    </xf>
    <xf numFmtId="49" fontId="97" fillId="0" borderId="0" xfId="0" applyFont="1" applyNumberFormat="1">
      <alignment horizontal="left" vertical="center"/>
    </xf>
    <xf numFmtId="49" fontId="47" fillId="0" borderId="0" xfId="0" applyFont="1" applyNumberFormat="1">
      <alignment horizontal="left" vertical="center" indent="2"/>
    </xf>
    <xf numFmtId="49" fontId="47" fillId="0" borderId="0" xfId="0" applyFont="1" applyNumberFormat="1">
      <alignment horizontal="center" vertical="center" wrapText="1"/>
    </xf>
    <xf numFmtId="49" fontId="47" fillId="0" borderId="0" xfId="0" applyFont="1" applyNumberFormat="1">
      <alignment horizontal="left" vertical="center" indent="1"/>
    </xf>
    <xf numFmtId="0" fontId="0" fillId="0" borderId="0" xfId="0" applyFont="1">
      <alignment vertical="center"/>
    </xf>
    <xf numFmtId="0" fontId="22" fillId="0" borderId="0" xfId="0" applyFont="1">
      <alignment horizontal="center" vertical="center" wrapText="1"/>
    </xf>
    <xf numFmtId="49" fontId="22" fillId="0" borderId="0" xfId="0" applyFont="1" applyNumberFormat="1">
      <alignment vertical="center" wrapText="1"/>
    </xf>
    <xf numFmtId="0" fontId="46" fillId="0" borderId="0" xfId="0" applyFont="1">
      <alignment horizontal="center" vertical="center" wrapText="1"/>
    </xf>
    <xf numFmtId="0" fontId="22" fillId="35" borderId="12" xfId="0" applyFont="1" applyFill="1" applyBorder="1">
      <alignment horizontal="center" vertical="center" wrapText="1"/>
    </xf>
    <xf numFmtId="0" fontId="47" fillId="0" borderId="0" xfId="0" applyFont="1">
      <alignment horizontal="center" vertical="center" wrapText="1"/>
    </xf>
    <xf numFmtId="0" fontId="22" fillId="0" borderId="0" xfId="0" applyFont="1">
      <alignment horizontal="center" vertical="center" wrapText="1"/>
    </xf>
    <xf numFmtId="0" fontId="22" fillId="0" borderId="0" xfId="0" applyFont="1">
      <alignment horizontal="left" vertical="top" wrapText="1"/>
    </xf>
    <xf numFmtId="0" fontId="0" fillId="0" borderId="13" xfId="0" applyFont="1" applyBorder="1">
      <alignment horizontal="center" vertical="center" wrapText="1"/>
    </xf>
    <xf numFmtId="0" fontId="80" fillId="35" borderId="19" xfId="0" applyFont="1" applyFill="1" applyBorder="1">
      <alignment horizontal="center" vertical="center" wrapText="1"/>
    </xf>
    <xf numFmtId="0" fontId="22" fillId="35" borderId="12" xfId="0" applyFont="1" applyFill="1" applyBorder="1">
      <alignment horizontal="left" vertical="center" wrapText="1"/>
    </xf>
    <xf numFmtId="49" fontId="22" fillId="35" borderId="12" xfId="0" applyFont="1" applyFill="1" applyBorder="1" applyNumberFormat="1">
      <alignment horizontal="center" vertical="center" wrapText="1"/>
    </xf>
    <xf numFmtId="0" fontId="0" fillId="0" borderId="12" xfId="0" applyFont="1" applyBorder="1">
      <alignment horizontal="center" vertical="center" wrapText="1"/>
    </xf>
    <xf numFmtId="0" fontId="47" fillId="0" borderId="0" xfId="0" applyFont="1">
      <alignment horizontal="center" vertical="center"/>
    </xf>
    <xf numFmtId="0" fontId="22" fillId="0" borderId="0" xfId="0" applyFont="1">
      <alignment horizontal="right" vertical="center" wrapText="1"/>
    </xf>
    <xf numFmtId="0" fontId="80" fillId="35" borderId="0" xfId="0" applyFont="1" applyFill="1">
      <alignment horizontal="center" vertical="center" wrapText="1"/>
    </xf>
    <xf numFmtId="49" fontId="22" fillId="0" borderId="12" xfId="0" applyFont="1" applyBorder="1" applyNumberFormat="1">
      <alignment horizontal="left" vertical="center" wrapText="1"/>
    </xf>
    <xf numFmtId="0" fontId="47" fillId="0" borderId="0" xfId="0" applyFont="1">
      <alignment horizontal="left" vertical="center" indent="1"/>
    </xf>
    <xf numFmtId="49" fontId="107" fillId="0" borderId="0" xfId="0" applyFont="1" applyNumberFormat="1">
      <alignment vertical="top"/>
    </xf>
    <xf numFmtId="49" fontId="22" fillId="0" borderId="12" xfId="0" applyFont="1" applyBorder="1" applyNumberFormat="1">
      <alignment vertical="center" wrapText="1"/>
    </xf>
    <xf numFmtId="0" fontId="47" fillId="0" borderId="0" xfId="0" applyFont="1">
      <alignment horizontal="center" vertical="center"/>
    </xf>
    <xf numFmtId="0" fontId="22" fillId="40" borderId="12" xfId="0" applyFont="1" applyFill="1" applyBorder="1">
      <alignment horizontal="left" vertical="center" wrapText="1" indent="6"/>
    </xf>
    <xf numFmtId="4" fontId="22" fillId="0" borderId="17" xfId="0" applyFont="1" applyBorder="1" applyNumberFormat="1">
      <alignment horizontal="right" vertical="center" wrapText="1"/>
    </xf>
    <xf numFmtId="4" fontId="22" fillId="0" borderId="23" xfId="0" applyFont="1" applyBorder="1" applyNumberFormat="1">
      <alignment horizontal="right" vertical="center" wrapText="1"/>
    </xf>
    <xf numFmtId="0" fontId="0" fillId="0" borderId="0" xfId="0" applyFont="1">
      <alignment vertical="center"/>
    </xf>
    <xf numFmtId="49" fontId="22" fillId="0" borderId="0" xfId="0" applyFont="1" applyNumberFormat="1">
      <alignment vertical="center" wrapText="1"/>
    </xf>
    <xf numFmtId="0" fontId="22" fillId="0" borderId="17" xfId="0" applyFont="1" applyBorder="1">
      <alignment horizontal="center" vertical="center" wrapText="1"/>
    </xf>
    <xf numFmtId="0" fontId="80" fillId="35" borderId="19" xfId="0" applyFont="1" applyFill="1" applyBorder="1">
      <alignment horizontal="center" vertical="center" wrapText="1"/>
    </xf>
    <xf numFmtId="0" fontId="47" fillId="0" borderId="0" xfId="0" applyFont="1">
      <alignment horizontal="center" vertical="center" wrapText="1"/>
    </xf>
    <xf numFmtId="0" fontId="22" fillId="0" borderId="0" xfId="0" applyFont="1">
      <alignment horizontal="right" vertical="center" wrapText="1"/>
    </xf>
    <xf numFmtId="0" fontId="22" fillId="0" borderId="0" xfId="0" applyFont="1">
      <alignment horizontal="center" vertical="center" wrapText="1"/>
    </xf>
    <xf numFmtId="0" fontId="0" fillId="0" borderId="12" xfId="0" applyFont="1" applyBorder="1">
      <alignment horizontal="center" vertical="center" wrapText="1"/>
    </xf>
    <xf numFmtId="0" fontId="22" fillId="35" borderId="12" xfId="0" applyFont="1" applyFill="1" applyBorder="1">
      <alignment horizontal="left" vertical="center" wrapText="1"/>
    </xf>
    <xf numFmtId="49" fontId="22" fillId="0" borderId="12" xfId="0" applyFont="1" applyBorder="1" applyNumberFormat="1">
      <alignment horizontal="left" vertical="center" wrapText="1"/>
    </xf>
    <xf numFmtId="4" fontId="46" fillId="0" borderId="12" xfId="0" applyFont="1" applyBorder="1" applyNumberFormat="1">
      <alignment horizontal="right" vertical="center" wrapText="1"/>
    </xf>
    <xf numFmtId="199" fontId="46" fillId="0" borderId="12" xfId="0" applyFont="1" applyBorder="1" applyNumberFormat="1">
      <alignment horizontal="right" vertical="center" wrapText="1"/>
    </xf>
    <xf numFmtId="49" fontId="46" fillId="0" borderId="0" xfId="0" applyFont="1" applyNumberFormat="1">
      <alignment vertical="center" wrapText="1"/>
    </xf>
    <xf numFmtId="0" fontId="46" fillId="0" borderId="0" xfId="0" applyFont="1">
      <alignment horizontal="left" vertical="center" indent="1"/>
    </xf>
    <xf numFmtId="0" fontId="46" fillId="0" borderId="0" xfId="0" applyFont="1">
      <alignment horizontal="center" vertical="center"/>
    </xf>
    <xf numFmtId="0" fontId="46" fillId="0" borderId="0" xfId="0" applyFont="1">
      <alignment horizontal="left" vertical="center" wrapText="1"/>
    </xf>
    <xf numFmtId="0" fontId="46" fillId="0" borderId="0" xfId="0" applyFont="1">
      <alignment vertical="center" wrapText="1"/>
    </xf>
    <xf numFmtId="49" fontId="46" fillId="0" borderId="12" xfId="0" applyFont="1" applyBorder="1" applyNumberFormat="1">
      <alignment vertical="center" wrapText="1"/>
    </xf>
    <xf numFmtId="0" fontId="46" fillId="0" borderId="0" xfId="0" applyFont="1">
      <alignment vertical="center"/>
    </xf>
    <xf numFmtId="0" fontId="46" fillId="0" borderId="0" xfId="0" applyFont="1">
      <alignment horizontal="center" vertical="center"/>
    </xf>
    <xf numFmtId="0" fontId="46" fillId="0" borderId="0" xfId="0" applyFont="1">
      <alignment vertical="center"/>
    </xf>
    <xf numFmtId="0" fontId="69" fillId="0" borderId="0" xfId="0" applyFont="1">
      <alignment vertical="center" wrapText="1"/>
    </xf>
    <xf numFmtId="0" fontId="0" fillId="0" borderId="15" xfId="0" applyFont="1" applyBorder="1">
      <alignment vertical="center"/>
    </xf>
    <xf numFmtId="0" fontId="47" fillId="0" borderId="12" xfId="0" applyFont="1" applyBorder="1">
      <alignment horizontal="center" vertical="center" wrapText="1"/>
    </xf>
    <xf numFmtId="0" fontId="72" fillId="0" borderId="0" xfId="0" applyFont="1">
      <alignment horizontal="left" vertical="center" indent="1"/>
    </xf>
    <xf numFmtId="0" fontId="72" fillId="0" borderId="0" xfId="0" applyFont="1">
      <alignment horizontal="left" vertical="center" indent="1"/>
    </xf>
    <xf numFmtId="0" fontId="47" fillId="0" borderId="12" xfId="0" applyFont="1" applyBorder="1">
      <alignment vertical="center" wrapText="1"/>
    </xf>
    <xf numFmtId="0" fontId="72" fillId="0" borderId="0" xfId="0" applyFont="1">
      <alignment horizontal="center" vertical="center"/>
    </xf>
    <xf numFmtId="0" fontId="72" fillId="0" borderId="0" xfId="0" applyFont="1">
      <alignment horizontal="left" vertical="center" wrapText="1"/>
    </xf>
    <xf numFmtId="49" fontId="72" fillId="0" borderId="0" xfId="0" applyFont="1" applyNumberFormat="1">
      <alignment horizontal="left" vertical="center"/>
    </xf>
    <xf numFmtId="0" fontId="22" fillId="0" borderId="0" xfId="0" applyFont="1">
      <alignment horizontal="center" vertical="center"/>
    </xf>
    <xf numFmtId="0" fontId="72" fillId="0" borderId="0" xfId="0" applyFont="1">
      <alignment horizontal="center" vertical="center"/>
    </xf>
    <xf numFmtId="4" fontId="22" fillId="0" borderId="13" xfId="0" applyFont="1" applyBorder="1" applyNumberFormat="1">
      <alignment horizontal="right" vertical="center" wrapText="1"/>
    </xf>
    <xf numFmtId="0" fontId="47" fillId="0" borderId="12" xfId="0" applyFont="1" applyBorder="1">
      <alignment horizontal="left" vertical="center" wrapText="1" indent="4"/>
    </xf>
    <xf numFmtId="0" fontId="47" fillId="0" borderId="12" xfId="0" applyFont="1" applyBorder="1">
      <alignment horizontal="left" vertical="center" wrapText="1" indent="6"/>
    </xf>
    <xf numFmtId="0" fontId="47" fillId="0" borderId="12" xfId="0" applyFont="1" applyBorder="1">
      <alignment vertical="top" wrapText="1"/>
    </xf>
    <xf numFmtId="49" fontId="97" fillId="0" borderId="14" xfId="0" applyFont="1" applyBorder="1" applyNumberFormat="1">
      <alignment horizontal="left" vertical="center"/>
    </xf>
    <xf numFmtId="49" fontId="47" fillId="0" borderId="15" xfId="0" applyFont="1" applyBorder="1" applyNumberFormat="1">
      <alignment horizontal="left" vertical="center" indent="4"/>
    </xf>
    <xf numFmtId="49" fontId="47" fillId="0" borderId="15" xfId="0" applyFont="1" applyBorder="1" applyNumberFormat="1">
      <alignment horizontal="center" vertical="center" wrapText="1"/>
    </xf>
    <xf numFmtId="49" fontId="47" fillId="0" borderId="13" xfId="0" applyFont="1" applyBorder="1" applyNumberFormat="1">
      <alignment horizontal="center" vertical="center" wrapText="1"/>
    </xf>
    <xf numFmtId="4" fontId="22" fillId="0" borderId="36" xfId="0" applyFont="1" applyBorder="1" applyNumberFormat="1">
      <alignment horizontal="right" vertical="center" wrapText="1"/>
    </xf>
    <xf numFmtId="0" fontId="22" fillId="36" borderId="12" xfId="0" applyFont="1" applyFill="1" applyBorder="1">
      <alignment horizontal="left" vertical="center" wrapText="1" indent="7"/>
      <protection locked="0"/>
    </xf>
    <xf numFmtId="0" fontId="22" fillId="37" borderId="15" xfId="0" applyFont="1" applyFill="1" applyBorder="1">
      <alignment horizontal="left" vertical="center" wrapText="1" indent="6"/>
    </xf>
    <xf numFmtId="4" fontId="22" fillId="37" borderId="15" xfId="0" applyFont="1" applyFill="1" applyBorder="1" applyNumberFormat="1">
      <alignment horizontal="right" vertical="center" wrapText="1"/>
    </xf>
    <xf numFmtId="4" fontId="47" fillId="37" borderId="15" xfId="0" applyFont="1" applyFill="1" applyBorder="1" applyNumberFormat="1">
      <alignment horizontal="center" vertical="center" wrapText="1"/>
    </xf>
    <xf numFmtId="4" fontId="22" fillId="37" borderId="13" xfId="0" applyFont="1" applyFill="1" applyBorder="1" applyNumberFormat="1">
      <alignment horizontal="right" vertical="center" wrapText="1"/>
    </xf>
    <xf numFmtId="4" fontId="47" fillId="37" borderId="13" xfId="0" applyFont="1" applyFill="1" applyBorder="1" applyNumberFormat="1">
      <alignment horizontal="center" vertical="center" wrapText="1"/>
    </xf>
    <xf numFmtId="199" fontId="22" fillId="37" borderId="13" xfId="0" applyFont="1" applyFill="1" applyBorder="1" applyNumberFormat="1">
      <alignment horizontal="right" vertical="center" wrapText="1"/>
    </xf>
    <xf numFmtId="0" fontId="22" fillId="40" borderId="12" xfId="0" applyFont="1" applyFill="1" applyBorder="1">
      <alignment horizontal="left" vertical="center" wrapText="1" indent="1"/>
    </xf>
    <xf numFmtId="0" fontId="47" fillId="0" borderId="12" xfId="0" applyFont="1" applyBorder="1">
      <alignment horizontal="left" vertical="center" wrapText="1" indent="5"/>
    </xf>
    <xf numFmtId="49" fontId="72" fillId="0" borderId="24" xfId="0" applyFont="1" applyBorder="1" applyNumberFormat="1">
      <alignment vertical="top"/>
    </xf>
    <xf numFmtId="49" fontId="47" fillId="0" borderId="24" xfId="0" applyFont="1" applyBorder="1" applyNumberFormat="1">
      <alignment vertical="top"/>
    </xf>
    <xf numFmtId="0" fontId="22" fillId="0" borderId="12" xfId="0" applyFont="1" applyBorder="1">
      <alignment horizontal="left" vertical="center" wrapText="1" indent="1"/>
    </xf>
    <xf numFmtId="4" fontId="47" fillId="0" borderId="12" xfId="0" applyFont="1" applyBorder="1" applyNumberFormat="1">
      <alignment horizontal="right" vertical="center" wrapText="1"/>
    </xf>
    <xf numFmtId="199" fontId="47" fillId="0" borderId="12" xfId="0" applyFont="1" applyBorder="1" applyNumberFormat="1">
      <alignment horizontal="right" vertical="center" wrapText="1"/>
    </xf>
    <xf numFmtId="199" fontId="22" fillId="36" borderId="14" xfId="0" applyFont="1" applyFill="1" applyBorder="1" applyNumberFormat="1">
      <alignment horizontal="right" vertical="center" wrapText="1"/>
      <protection locked="0"/>
    </xf>
    <xf numFmtId="4" fontId="47" fillId="0" borderId="14" xfId="0" applyFont="1" applyBorder="1" applyNumberFormat="1">
      <alignment horizontal="center" vertical="center" wrapText="1"/>
    </xf>
    <xf numFmtId="4" fontId="22" fillId="36" borderId="13" xfId="0" applyFont="1" applyFill="1" applyBorder="1" applyNumberFormat="1">
      <alignment horizontal="right" vertical="center" wrapText="1"/>
      <protection locked="0"/>
    </xf>
    <xf numFmtId="49" fontId="22" fillId="37" borderId="27" xfId="0" applyFont="1" applyFill="1" applyBorder="1" applyNumberFormat="1">
      <alignment horizontal="center" vertical="center" wrapText="1"/>
    </xf>
    <xf numFmtId="49" fontId="46" fillId="0" borderId="0" xfId="0" applyFont="1" applyNumberFormat="1">
      <alignment vertical="center" wrapText="1"/>
    </xf>
    <xf numFmtId="0" fontId="46" fillId="0" borderId="0" xfId="0" applyFont="1">
      <alignment horizontal="center" vertical="center" wrapText="1"/>
    </xf>
    <xf numFmtId="0" fontId="56" fillId="35" borderId="0" xfId="0" applyFont="1" applyFill="1">
      <alignment horizontal="center" vertical="center" wrapText="1"/>
    </xf>
    <xf numFmtId="0" fontId="56" fillId="0" borderId="0" xfId="0" applyFont="1">
      <alignment vertical="center" wrapText="1"/>
    </xf>
    <xf numFmtId="0" fontId="47" fillId="0" borderId="0" xfId="0" applyFont="1">
      <alignment vertical="center"/>
    </xf>
    <xf numFmtId="0" fontId="48" fillId="0" borderId="0" xfId="0" applyFont="1">
      <alignment vertical="center"/>
    </xf>
    <xf numFmtId="0" fontId="47" fillId="0" borderId="0" xfId="0" applyFont="1">
      <alignment vertical="center"/>
    </xf>
    <xf numFmtId="0" fontId="47" fillId="0" borderId="0" xfId="0" applyFont="1">
      <alignment vertical="center"/>
    </xf>
    <xf numFmtId="0" fontId="0" fillId="0" borderId="0" xfId="0" applyFont="1">
      <alignment vertical="center"/>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49" fontId="22" fillId="0" borderId="19" xfId="0" applyFont="1" applyBorder="1" applyNumberFormat="1">
      <alignment horizontal="center" vertical="center" wrapText="1"/>
    </xf>
    <xf numFmtId="0" fontId="46" fillId="0" borderId="0" xfId="0" applyFont="1">
      <alignment horizontal="center" vertical="center" wrapText="1"/>
    </xf>
    <xf numFmtId="0" fontId="47" fillId="0" borderId="0" xfId="0" applyFont="1">
      <alignment horizontal="center" vertical="center" wrapText="1"/>
    </xf>
    <xf numFmtId="0" fontId="22" fillId="0" borderId="0" xfId="0" applyFont="1">
      <alignment horizontal="center" vertical="center" wrapText="1"/>
    </xf>
    <xf numFmtId="49" fontId="22" fillId="0" borderId="12" xfId="0" applyFont="1" applyBorder="1" applyNumberFormat="1">
      <alignment horizontal="left" vertical="center" wrapText="1"/>
    </xf>
    <xf numFmtId="0" fontId="22" fillId="35" borderId="12" xfId="0" applyFont="1" applyFill="1" applyBorder="1">
      <alignment horizontal="left" vertical="center" wrapText="1"/>
    </xf>
    <xf numFmtId="0" fontId="47" fillId="0" borderId="0" xfId="0" applyFont="1">
      <alignment horizontal="center" vertical="center"/>
    </xf>
    <xf numFmtId="49" fontId="22" fillId="0" borderId="0" xfId="0" applyFont="1" applyNumberFormat="1">
      <alignment horizontal="center" vertical="top"/>
    </xf>
    <xf numFmtId="49" fontId="31" fillId="0" borderId="0" xfId="0" applyFont="1" applyNumberFormat="1">
      <alignment horizontal="center" vertical="center"/>
    </xf>
    <xf numFmtId="0" fontId="0" fillId="0" borderId="0" xfId="0" applyFont="1">
      <alignment horizontal="left" vertical="center"/>
    </xf>
    <xf numFmtId="0" fontId="54" fillId="0" borderId="0" xfId="0" applyFont="1">
      <alignment horizontal="left" vertical="center"/>
    </xf>
    <xf numFmtId="49" fontId="0" fillId="0" borderId="0" xfId="0" applyFont="1" applyNumberFormat="1">
      <alignment vertical="center"/>
    </xf>
    <xf numFmtId="0" fontId="0" fillId="0" borderId="0" xfId="0" applyFont="1">
      <alignment horizontal="right" vertical="top"/>
    </xf>
    <xf numFmtId="0" fontId="39" fillId="37" borderId="29" xfId="0" applyFont="1" applyFill="1" applyBorder="1">
      <alignment horizontal="left" vertical="center"/>
    </xf>
    <xf numFmtId="49" fontId="47" fillId="0" borderId="14" xfId="0" applyFont="1" applyBorder="1" applyNumberFormat="1">
      <alignment horizontal="left" vertical="center" wrapText="1"/>
    </xf>
    <xf numFmtId="0" fontId="47" fillId="0" borderId="14" xfId="0" applyFont="1" applyBorder="1">
      <alignment horizontal="left" vertical="center"/>
    </xf>
    <xf numFmtId="0" fontId="47" fillId="0" borderId="15" xfId="0" applyFont="1" applyBorder="1">
      <alignment horizontal="left" vertical="center"/>
    </xf>
    <xf numFmtId="49" fontId="22" fillId="36" borderId="12" xfId="0" applyFont="1" applyFill="1" applyBorder="1" applyNumberFormat="1">
      <alignment horizontal="left" vertical="center" wrapText="1" indent="6"/>
      <protection locked="0"/>
    </xf>
    <xf numFmtId="4" fontId="22" fillId="0" borderId="37" xfId="0" applyFont="1" applyBorder="1" applyNumberFormat="1">
      <alignment horizontal="right" vertical="center" wrapText="1"/>
    </xf>
    <xf numFmtId="4" fontId="22" fillId="0" borderId="30" xfId="0" applyFont="1" applyBorder="1" applyNumberFormat="1">
      <alignment horizontal="right" vertical="center" wrapText="1"/>
    </xf>
    <xf numFmtId="49" fontId="0" fillId="37" borderId="29" xfId="0" applyFont="1" applyFill="1" applyBorder="1" applyNumberFormat="1">
      <alignment horizontal="center" vertical="center" wrapText="1"/>
    </xf>
    <xf numFmtId="0" fontId="0" fillId="0" borderId="0" xfId="0" applyFont="1">
      <alignment vertical="center"/>
    </xf>
    <xf numFmtId="0" fontId="110" fillId="0" borderId="0" xfId="0" applyFont="1">
      <alignment vertical="center" wrapText="1"/>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49" fontId="22" fillId="0" borderId="0" xfId="0" applyFont="1" applyNumberFormat="1">
      <alignment vertical="center" wrapText="1"/>
    </xf>
    <xf numFmtId="0" fontId="46" fillId="0" borderId="0" xfId="0" applyFont="1">
      <alignment horizontal="center" vertical="center" wrapText="1"/>
    </xf>
    <xf numFmtId="0" fontId="22" fillId="35" borderId="12" xfId="0" applyFont="1" applyFill="1" applyBorder="1">
      <alignment horizontal="center" vertical="center" wrapText="1"/>
    </xf>
    <xf numFmtId="0" fontId="22" fillId="0" borderId="0" xfId="0" applyFont="1">
      <alignment horizontal="left" vertical="top" wrapText="1"/>
    </xf>
    <xf numFmtId="0" fontId="47" fillId="0" borderId="0" xfId="0" applyFont="1">
      <alignment horizontal="center" vertical="center" wrapText="1"/>
    </xf>
    <xf numFmtId="0" fontId="80" fillId="35" borderId="19" xfId="0" applyFont="1" applyFill="1" applyBorder="1">
      <alignment horizontal="center" vertical="center" wrapText="1"/>
    </xf>
    <xf numFmtId="0" fontId="22" fillId="0" borderId="17" xfId="0" applyFont="1" applyBorder="1">
      <alignment horizontal="center" vertical="center" wrapText="1"/>
    </xf>
    <xf numFmtId="0" fontId="22" fillId="0" borderId="0" xfId="0" applyFont="1">
      <alignment horizontal="center" vertical="center" wrapText="1"/>
    </xf>
    <xf numFmtId="0" fontId="22" fillId="0" borderId="0" xfId="0" applyFont="1">
      <alignment horizontal="right" vertical="center" wrapText="1"/>
    </xf>
    <xf numFmtId="0" fontId="0" fillId="0" borderId="12" xfId="0" applyFont="1" applyBorder="1">
      <alignment horizontal="center" vertical="center" wrapText="1"/>
    </xf>
    <xf numFmtId="49" fontId="22" fillId="0" borderId="12" xfId="0" applyFont="1" applyBorder="1" applyNumberFormat="1">
      <alignment horizontal="left" vertical="center" wrapText="1"/>
    </xf>
    <xf numFmtId="0" fontId="22" fillId="35" borderId="12" xfId="0" applyFont="1" applyFill="1" applyBorder="1">
      <alignment horizontal="left" vertical="center" wrapText="1"/>
    </xf>
    <xf numFmtId="0" fontId="47" fillId="0" borderId="0" xfId="0" applyFont="1">
      <alignment horizontal="center" vertical="center"/>
    </xf>
    <xf numFmtId="49" fontId="22" fillId="40" borderId="12" xfId="0" applyFont="1" applyFill="1" applyBorder="1" applyNumberFormat="1">
      <alignment horizontal="center" vertical="center" wrapText="1"/>
    </xf>
    <xf numFmtId="49" fontId="47" fillId="0" borderId="12" xfId="0" applyFont="1" applyBorder="1" applyNumberFormat="1">
      <alignment horizontal="center" vertical="center" wrapText="1"/>
    </xf>
    <xf numFmtId="0" fontId="46" fillId="0" borderId="0" xfId="0" applyFont="1">
      <alignment horizontal="center" vertical="center" wrapText="1"/>
    </xf>
    <xf numFmtId="0" fontId="47" fillId="0" borderId="0" xfId="0" applyFont="1">
      <alignment horizontal="center" vertical="center" wrapText="1"/>
    </xf>
    <xf numFmtId="49" fontId="22" fillId="35" borderId="12" xfId="0" applyFont="1" applyFill="1" applyBorder="1" applyNumberFormat="1">
      <alignment horizontal="center" vertical="center" wrapText="1"/>
    </xf>
    <xf numFmtId="0" fontId="47" fillId="0" borderId="0" xfId="0" applyFont="1">
      <alignment horizontal="center" vertical="center"/>
    </xf>
    <xf numFmtId="0" fontId="22" fillId="35" borderId="12" xfId="0" applyFont="1" applyFill="1" applyBorder="1">
      <alignment horizontal="left" vertical="center" wrapText="1"/>
    </xf>
    <xf numFmtId="49" fontId="22" fillId="39" borderId="12" xfId="0" applyFont="1" applyFill="1" applyBorder="1" applyNumberFormat="1">
      <alignment horizontal="left" vertical="center" wrapText="1" indent="1"/>
      <protection locked="0"/>
    </xf>
    <xf numFmtId="0" fontId="0" fillId="0" borderId="0" xfId="0" applyFont="1">
      <alignment vertical="center"/>
    </xf>
    <xf numFmtId="0" fontId="22" fillId="0" borderId="0" xfId="0" applyFont="1">
      <alignment horizontal="center" vertical="center" wrapText="1"/>
    </xf>
    <xf numFmtId="49" fontId="22" fillId="40" borderId="12" xfId="0" applyFont="1" applyFill="1" applyBorder="1" applyNumberFormat="1">
      <alignment horizontal="center" vertical="center" wrapText="1"/>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49" fontId="22" fillId="0" borderId="0" xfId="0" applyFont="1" applyNumberFormat="1">
      <alignment vertical="center" wrapText="1"/>
    </xf>
    <xf numFmtId="49" fontId="22" fillId="35" borderId="12" xfId="0" applyFont="1" applyFill="1" applyBorder="1" applyNumberFormat="1">
      <alignment horizontal="center" vertical="center" wrapText="1"/>
    </xf>
    <xf numFmtId="0" fontId="47" fillId="35" borderId="0" xfId="0" applyFont="1" applyFill="1">
      <alignment horizontal="center" vertical="center" wrapText="1"/>
    </xf>
    <xf numFmtId="0" fontId="0" fillId="35" borderId="12" xfId="0" applyFont="1" applyFill="1" applyBorder="1">
      <alignment horizontal="center" vertical="center" wrapText="1"/>
    </xf>
    <xf numFmtId="0" fontId="22" fillId="35" borderId="24" xfId="0" applyFont="1" applyFill="1" applyBorder="1">
      <alignment horizontal="center" vertical="center" wrapText="1"/>
    </xf>
    <xf numFmtId="0" fontId="46" fillId="0" borderId="0" xfId="0" applyFont="1">
      <alignment horizontal="center" vertical="center" wrapText="1"/>
    </xf>
    <xf numFmtId="0" fontId="22" fillId="35" borderId="12" xfId="0" applyFont="1" applyFill="1" applyBorder="1">
      <alignment horizontal="center" vertical="center" wrapText="1"/>
    </xf>
    <xf numFmtId="0" fontId="22" fillId="0" borderId="0" xfId="0" applyFont="1">
      <alignment horizontal="left" vertical="top" wrapText="1"/>
    </xf>
    <xf numFmtId="0" fontId="47" fillId="0" borderId="0" xfId="0" applyFont="1">
      <alignment horizontal="center" vertical="center" wrapText="1"/>
    </xf>
    <xf numFmtId="0" fontId="80" fillId="35" borderId="19" xfId="0" applyFont="1" applyFill="1" applyBorder="1">
      <alignment horizontal="center" vertical="center" wrapText="1"/>
    </xf>
    <xf numFmtId="0" fontId="22" fillId="0" borderId="17" xfId="0" applyFont="1" applyBorder="1">
      <alignment horizontal="center" vertical="center" wrapText="1"/>
    </xf>
    <xf numFmtId="0" fontId="22" fillId="0" borderId="12" xfId="0" applyFont="1" applyBorder="1">
      <alignment horizontal="center" vertical="center" wrapText="1"/>
    </xf>
    <xf numFmtId="49" fontId="47" fillId="0" borderId="12" xfId="0" applyFont="1" applyBorder="1" applyNumberFormat="1">
      <alignment horizontal="center" vertical="center" wrapText="1"/>
    </xf>
    <xf numFmtId="49" fontId="22" fillId="35" borderId="12" xfId="0" applyFont="1" applyFill="1" applyBorder="1" applyNumberFormat="1">
      <alignment horizontal="center" vertical="center" wrapText="1"/>
    </xf>
    <xf numFmtId="0" fontId="22" fillId="0" borderId="0" xfId="0" applyFont="1">
      <alignment horizontal="center" vertical="center" wrapText="1"/>
    </xf>
    <xf numFmtId="0" fontId="22" fillId="0" borderId="0" xfId="0" applyFont="1">
      <alignment horizontal="right" vertical="center" wrapText="1"/>
    </xf>
    <xf numFmtId="0" fontId="0" fillId="0" borderId="12" xfId="0" applyFont="1" applyBorder="1">
      <alignment horizontal="center" vertical="center" wrapText="1"/>
    </xf>
    <xf numFmtId="49" fontId="22" fillId="0" borderId="12" xfId="0" applyFont="1" applyBorder="1" applyNumberFormat="1">
      <alignment horizontal="left" vertical="center" wrapText="1"/>
    </xf>
    <xf numFmtId="49" fontId="22" fillId="40" borderId="12" xfId="0" applyFont="1" applyFill="1" applyBorder="1" applyNumberFormat="1">
      <alignment horizontal="left" vertical="center" wrapText="1"/>
    </xf>
    <xf numFmtId="49" fontId="22" fillId="39" borderId="12" xfId="0" applyFont="1" applyFill="1" applyBorder="1" applyNumberFormat="1">
      <alignment horizontal="left" vertical="center" wrapText="1" indent="1"/>
      <protection locked="0"/>
    </xf>
    <xf numFmtId="0" fontId="22" fillId="35" borderId="12" xfId="0" applyFont="1" applyFill="1" applyBorder="1">
      <alignment horizontal="left" vertical="center" wrapText="1"/>
    </xf>
    <xf numFmtId="0" fontId="47" fillId="0" borderId="0" xfId="0" applyFont="1">
      <alignment horizontal="center" vertical="center"/>
    </xf>
    <xf numFmtId="0" fontId="36" fillId="0" borderId="0" xfId="0" applyFont="1">
      <alignment horizontal="center" vertical="center" wrapText="1"/>
    </xf>
    <xf numFmtId="199" fontId="22" fillId="37" borderId="15" xfId="0" applyFont="1" applyFill="1" applyBorder="1" applyNumberFormat="1">
      <alignment horizontal="right" vertical="center" wrapText="1"/>
    </xf>
    <xf numFmtId="0" fontId="111" fillId="0" borderId="0" xfId="0" applyFont="1">
      <alignment vertical="center" wrapText="1"/>
    </xf>
    <xf numFmtId="0" fontId="111" fillId="35" borderId="0" xfId="0" applyFont="1" applyFill="1">
      <alignment horizontal="center" vertical="center" wrapText="1"/>
    </xf>
    <xf numFmtId="0" fontId="47" fillId="35" borderId="12" xfId="0" applyFont="1" applyFill="1" applyBorder="1">
      <alignment horizontal="left" vertical="center" wrapText="1" indent="3"/>
    </xf>
    <xf numFmtId="49" fontId="39" fillId="37" borderId="27" xfId="0" applyFont="1" applyFill="1" applyBorder="1" applyNumberFormat="1">
      <alignment horizontal="left" vertical="center"/>
    </xf>
    <xf numFmtId="0" fontId="111" fillId="0" borderId="0" xfId="0" applyFont="1">
      <alignment horizontal="center" vertical="center" wrapText="1"/>
    </xf>
    <xf numFmtId="49" fontId="47" fillId="0" borderId="0" xfId="0" applyFont="1" applyNumberFormat="1">
      <alignment horizontal="left" vertical="center" wrapText="1" indent="1"/>
    </xf>
    <xf numFmtId="0" fontId="47" fillId="0" borderId="0" xfId="0" applyFont="1">
      <alignment horizontal="left" vertical="center" wrapText="1" indent="4"/>
    </xf>
    <xf numFmtId="0" fontId="47" fillId="0" borderId="0" xfId="0" applyFont="1">
      <alignment horizontal="left" vertical="center" wrapText="1" indent="1"/>
    </xf>
    <xf numFmtId="49" fontId="22" fillId="37" borderId="14" xfId="0" applyFont="1" applyFill="1" applyBorder="1" applyNumberFormat="1">
      <alignment horizontal="center" vertical="center" wrapText="1"/>
    </xf>
    <xf numFmtId="0" fontId="47" fillId="0" borderId="24" xfId="0" applyFont="1" applyBorder="1">
      <alignment horizontal="left" vertical="center" wrapText="1" indent="1"/>
    </xf>
    <xf numFmtId="0" fontId="46" fillId="0" borderId="0" xfId="0" applyFont="1">
      <alignment horizontal="left" vertical="center"/>
    </xf>
    <xf numFmtId="49" fontId="46" fillId="0" borderId="0" xfId="0" applyFont="1" applyNumberFormat="1">
      <alignment horizontal="left" vertical="center"/>
    </xf>
    <xf numFmtId="0" fontId="46" fillId="0" borderId="0" xfId="0" applyFont="1">
      <alignment horizontal="left" vertical="center"/>
    </xf>
    <xf numFmtId="0" fontId="69" fillId="0" borderId="0" xfId="0" applyFont="1">
      <alignment horizontal="left" vertical="center"/>
    </xf>
    <xf numFmtId="0" fontId="47" fillId="0" borderId="0" xfId="0" applyFont="1">
      <alignment horizontal="left" vertical="center"/>
    </xf>
    <xf numFmtId="49" fontId="22" fillId="0" borderId="0" xfId="0" applyFont="1" applyNumberFormat="1">
      <alignment horizontal="center" vertical="center" wrapText="1"/>
    </xf>
    <xf numFmtId="49" fontId="22" fillId="0" borderId="19" xfId="0" applyFont="1" applyBorder="1" applyNumberFormat="1">
      <alignment horizontal="center" vertical="center" wrapText="1"/>
    </xf>
    <xf numFmtId="49" fontId="22" fillId="0" borderId="19" xfId="0" applyFont="1" applyBorder="1" applyNumberFormat="1">
      <alignment horizontal="left" vertical="center" wrapText="1"/>
    </xf>
    <xf numFmtId="0" fontId="36" fillId="0" borderId="0" xfId="0" applyFont="1">
      <alignment horizontal="center" vertical="center" wrapText="1"/>
    </xf>
    <xf numFmtId="0" fontId="36" fillId="35" borderId="0" xfId="0" applyFont="1" applyFill="1">
      <alignment horizontal="center" vertical="center" wrapText="1"/>
    </xf>
    <xf numFmtId="49" fontId="46" fillId="0" borderId="0" xfId="0" applyFont="1" applyNumberFormat="1">
      <alignment horizontal="left" vertical="center"/>
    </xf>
    <xf numFmtId="49" fontId="46" fillId="0" borderId="0" xfId="0" applyFont="1" applyNumberFormat="1">
      <alignment horizontal="left" vertical="center"/>
    </xf>
    <xf numFmtId="49" fontId="46" fillId="0" borderId="0" xfId="0" applyFont="1" applyNumberFormat="1">
      <alignment horizontal="left" vertical="top"/>
    </xf>
    <xf numFmtId="49" fontId="22" fillId="35" borderId="12" xfId="0" applyFont="1" applyFill="1" applyBorder="1" applyNumberFormat="1">
      <alignment horizontal="center" vertical="center"/>
    </xf>
    <xf numFmtId="0" fontId="22" fillId="0" borderId="12" xfId="0" applyFont="1" applyBorder="1">
      <alignment horizontal="center" vertical="center" wrapText="1"/>
    </xf>
    <xf numFmtId="0" fontId="22" fillId="35" borderId="12" xfId="0" applyFont="1" applyFill="1" applyBorder="1">
      <alignment horizontal="left" vertical="center" wrapText="1" indent="1"/>
    </xf>
    <xf numFmtId="49" fontId="22" fillId="0" borderId="12" xfId="0" applyFont="1" applyBorder="1" applyNumberFormat="1">
      <alignment horizontal="center" vertical="center"/>
    </xf>
    <xf numFmtId="0" fontId="22" fillId="0" borderId="12" xfId="0" applyFont="1" applyBorder="1">
      <alignment horizontal="left" vertical="center" wrapText="1" indent="1"/>
    </xf>
    <xf numFmtId="0" fontId="22" fillId="0" borderId="12" xfId="0" applyFont="1" applyBorder="1">
      <alignment vertical="center" wrapText="1"/>
    </xf>
    <xf numFmtId="49" fontId="22" fillId="39" borderId="12" xfId="0" applyFont="1" applyFill="1" applyBorder="1" applyNumberFormat="1">
      <alignment horizontal="left" vertical="center" wrapText="1"/>
      <protection locked="0"/>
    </xf>
    <xf numFmtId="0" fontId="22" fillId="35" borderId="12" xfId="0" applyFont="1" applyFill="1" applyBorder="1">
      <alignment horizontal="left" vertical="center" wrapText="1"/>
    </xf>
    <xf numFmtId="0" fontId="47" fillId="35" borderId="12" xfId="0" applyFont="1" applyFill="1" applyBorder="1">
      <alignment horizontal="center" vertical="center"/>
    </xf>
    <xf numFmtId="0" fontId="72" fillId="35" borderId="0" xfId="0" applyFont="1" applyFill="1">
      <alignment vertical="center" wrapText="1"/>
    </xf>
    <xf numFmtId="0" fontId="67" fillId="35" borderId="0" xfId="0" applyFont="1" applyFill="1"/>
    <xf numFmtId="49" fontId="22" fillId="36" borderId="12" xfId="0" applyFont="1" applyFill="1" applyBorder="1" applyNumberFormat="1">
      <alignment horizontal="left" vertical="center" wrapText="1"/>
      <protection locked="0"/>
    </xf>
    <xf numFmtId="0" fontId="84" fillId="35" borderId="0" xfId="0" applyFont="1" applyFill="1"/>
    <xf numFmtId="0" fontId="68" fillId="35" borderId="0" xfId="0" applyFont="1" applyFill="1"/>
    <xf numFmtId="14" fontId="22" fillId="39" borderId="23" xfId="0" applyFont="1" applyFill="1" applyBorder="1" applyNumberFormat="1">
      <alignment horizontal="left" vertical="center" wrapText="1" indent="1"/>
      <protection locked="0"/>
    </xf>
    <xf numFmtId="0" fontId="112" fillId="0" borderId="0" xfId="0" applyFont="1">
      <alignment vertical="center"/>
    </xf>
    <xf numFmtId="0" fontId="112" fillId="0" borderId="0" xfId="0" applyFont="1">
      <alignment vertical="center" wrapText="1"/>
    </xf>
    <xf numFmtId="202" fontId="22" fillId="0" borderId="23" xfId="0" applyFont="1" applyBorder="1" applyNumberFormat="1">
      <alignment horizontal="center" vertical="center" wrapText="1"/>
    </xf>
    <xf numFmtId="14" fontId="22" fillId="39" borderId="12" xfId="0" applyFont="1" applyFill="1" applyBorder="1" applyNumberFormat="1">
      <alignment horizontal="left" vertical="center" wrapText="1" indent="1"/>
      <protection locked="0"/>
    </xf>
    <xf numFmtId="0" fontId="22" fillId="34" borderId="23" xfId="0" applyFont="1" applyFill="1" applyBorder="1">
      <alignment horizontal="left" vertical="center" wrapText="1" indent="1"/>
    </xf>
    <xf numFmtId="202" fontId="22" fillId="0" borderId="17" xfId="0" applyFont="1" applyBorder="1" applyNumberFormat="1">
      <alignment horizontal="center" vertical="center" wrapText="1"/>
    </xf>
    <xf numFmtId="49" fontId="49" fillId="37" borderId="30" xfId="0" applyFont="1" applyFill="1" applyBorder="1" applyNumberFormat="1">
      <alignment horizontal="right" vertical="center" wrapText="1"/>
    </xf>
    <xf numFmtId="49" fontId="0" fillId="37" borderId="27" xfId="0" applyFont="1" applyFill="1" applyBorder="1" applyNumberFormat="1">
      <alignment horizontal="right" vertical="center" wrapText="1"/>
    </xf>
    <xf numFmtId="49" fontId="53" fillId="37" borderId="27" xfId="0" applyFont="1" applyFill="1" applyBorder="1" applyNumberFormat="1">
      <alignment horizontal="left" vertical="center" wrapText="1"/>
    </xf>
    <xf numFmtId="0" fontId="47" fillId="0" borderId="27" xfId="0" applyFont="1" applyBorder="1">
      <alignment horizontal="center" vertical="center" wrapText="1"/>
    </xf>
    <xf numFmtId="0" fontId="47" fillId="0" borderId="0" xfId="0" applyFont="1">
      <alignment horizontal="center" vertical="center"/>
    </xf>
    <xf numFmtId="0" fontId="41" fillId="0" borderId="0" xfId="0" applyFont="1">
      <alignment horizontal="center" vertical="center" wrapText="1"/>
    </xf>
    <xf numFmtId="14" fontId="22" fillId="40" borderId="12" xfId="0" applyFont="1" applyFill="1" applyBorder="1" applyNumberFormat="1">
      <alignment horizontal="left" vertical="center" wrapText="1"/>
    </xf>
    <xf numFmtId="202" fontId="22" fillId="0" borderId="37" xfId="0" applyFont="1" applyBorder="1" applyNumberFormat="1">
      <alignment horizontal="center" vertical="center" wrapText="1"/>
    </xf>
    <xf numFmtId="0" fontId="22" fillId="39" borderId="12" xfId="0" applyFont="1" applyFill="1" applyBorder="1">
      <alignment horizontal="center" vertical="center" wrapText="1"/>
      <protection locked="0"/>
    </xf>
    <xf numFmtId="0" fontId="46" fillId="35" borderId="0" xfId="0" applyFont="1" applyFill="1"/>
    <xf numFmtId="0" fontId="22" fillId="0" borderId="15" xfId="0" applyFont="1" applyBorder="1">
      <alignment horizontal="right" vertical="center" wrapText="1" indent="1"/>
    </xf>
    <xf numFmtId="0" fontId="22" fillId="34" borderId="14" xfId="0" applyFont="1" applyFill="1" applyBorder="1">
      <alignment horizontal="left" vertical="top" wrapText="1"/>
    </xf>
    <xf numFmtId="49" fontId="47" fillId="0" borderId="0" xfId="0" applyFont="1" applyNumberFormat="1">
      <alignment horizontal="center" vertical="center"/>
    </xf>
    <xf numFmtId="49" fontId="67" fillId="0" borderId="0" xfId="0" applyFont="1" applyNumberFormat="1">
      <alignment vertical="top"/>
    </xf>
    <xf numFmtId="0" fontId="41" fillId="0" borderId="0" xfId="0" applyFont="1">
      <alignment vertical="center"/>
    </xf>
    <xf numFmtId="0" fontId="22" fillId="0" borderId="36" xfId="0" applyFont="1" applyBorder="1">
      <alignment horizontal="center" vertical="center" wrapText="1"/>
    </xf>
    <xf numFmtId="0" fontId="22" fillId="0" borderId="37" xfId="0" applyFont="1" applyBorder="1">
      <alignment horizontal="center" vertical="center" wrapText="1"/>
    </xf>
    <xf numFmtId="0" fontId="22" fillId="0" borderId="17" xfId="0" applyFont="1" applyBorder="1">
      <alignment horizontal="center" vertical="center" wrapText="1"/>
    </xf>
    <xf numFmtId="0" fontId="22" fillId="0" borderId="22" xfId="0" applyFont="1" applyBorder="1">
      <alignment horizontal="center" vertical="center" wrapText="1"/>
    </xf>
    <xf numFmtId="49" fontId="22" fillId="0" borderId="36" xfId="0" applyFont="1" applyBorder="1" applyNumberFormat="1">
      <alignment horizontal="left" vertical="center" wrapText="1"/>
    </xf>
    <xf numFmtId="49" fontId="22" fillId="0" borderId="36" xfId="0" applyFont="1" applyBorder="1" applyNumberFormat="1">
      <alignment horizontal="center" vertical="center" wrapText="1"/>
    </xf>
    <xf numFmtId="49" fontId="22" fillId="0" borderId="17" xfId="0" applyFont="1" applyBorder="1" applyNumberFormat="1">
      <alignment horizontal="center" vertical="center" wrapText="1"/>
    </xf>
    <xf numFmtId="0" fontId="22" fillId="0" borderId="36" xfId="0" applyFont="1" applyBorder="1">
      <alignment horizontal="left" vertical="center" wrapText="1"/>
    </xf>
    <xf numFmtId="49" fontId="22" fillId="0" borderId="36" xfId="0" applyFont="1" applyBorder="1" applyNumberFormat="1">
      <alignment vertical="center" wrapText="1"/>
    </xf>
    <xf numFmtId="0" fontId="22" fillId="0" borderId="23" xfId="0" applyFont="1" applyBorder="1">
      <alignment horizontal="left" vertical="center" wrapText="1"/>
    </xf>
    <xf numFmtId="0" fontId="39" fillId="0" borderId="23" xfId="0" applyFont="1" applyBorder="1">
      <alignment horizontal="left" vertical="center"/>
    </xf>
    <xf numFmtId="0" fontId="39" fillId="37" borderId="14" xfId="0" applyFont="1" applyFill="1" applyBorder="1">
      <alignment horizontal="left" vertical="center"/>
    </xf>
    <xf numFmtId="0" fontId="39" fillId="0" borderId="36" xfId="0" applyFont="1" applyBorder="1">
      <alignment horizontal="left" vertical="center"/>
    </xf>
    <xf numFmtId="0" fontId="39" fillId="37" borderId="37" xfId="0" applyFont="1" applyFill="1" applyBorder="1">
      <alignment horizontal="left" vertical="center"/>
    </xf>
    <xf numFmtId="49" fontId="67" fillId="37" borderId="14" xfId="0" applyFont="1" applyFill="1" applyBorder="1" applyNumberFormat="1">
      <alignment vertical="top"/>
    </xf>
    <xf numFmtId="49" fontId="67" fillId="37" borderId="15" xfId="0" applyFont="1" applyFill="1" applyBorder="1" applyNumberFormat="1">
      <alignment vertical="top"/>
    </xf>
    <xf numFmtId="49" fontId="22" fillId="40" borderId="17" xfId="0" applyFont="1" applyFill="1" applyBorder="1" applyNumberFormat="1">
      <alignment vertical="center" wrapText="1"/>
    </xf>
    <xf numFmtId="0" fontId="22" fillId="0" borderId="37" xfId="0" applyFont="1" applyBorder="1">
      <alignment horizontal="center" vertical="center" wrapText="1"/>
    </xf>
    <xf numFmtId="49" fontId="0" fillId="0" borderId="0" xfId="0" applyFont="1" applyNumberFormat="1">
      <alignment vertical="top"/>
    </xf>
    <xf numFmtId="49" fontId="46" fillId="0" borderId="0" xfId="0" applyFont="1" applyNumberFormat="1">
      <alignment horizontal="center" vertical="center"/>
    </xf>
    <xf numFmtId="0" fontId="113" fillId="0" borderId="0" xfId="0" applyFont="1">
      <alignment vertical="center" wrapText="1"/>
    </xf>
    <xf numFmtId="0" fontId="114" fillId="0" borderId="0" xfId="0" applyFont="1">
      <alignment vertical="center" wrapText="1"/>
    </xf>
    <xf numFmtId="0" fontId="22" fillId="0" borderId="17" xfId="0" applyFont="1" applyBorder="1">
      <alignment horizontal="center" vertical="center" wrapText="1"/>
    </xf>
    <xf numFmtId="49" fontId="22" fillId="0" borderId="17" xfId="0" applyFont="1" applyBorder="1" applyNumberFormat="1">
      <alignment horizontal="left" vertical="center" wrapText="1"/>
    </xf>
    <xf numFmtId="49" fontId="22" fillId="0" borderId="17" xfId="0" applyFont="1" applyBorder="1" applyNumberFormat="1">
      <alignment horizontal="left" vertical="center" wrapText="1"/>
    </xf>
    <xf numFmtId="49" fontId="22" fillId="0" borderId="17" xfId="0" applyFont="1" applyBorder="1" applyNumberFormat="1">
      <alignment horizontal="center" vertical="center" wrapText="1"/>
    </xf>
    <xf numFmtId="0" fontId="22" fillId="0" borderId="17" xfId="0" applyFont="1" applyBorder="1">
      <alignment horizontal="left" vertical="center" wrapText="1"/>
    </xf>
    <xf numFmtId="0" fontId="22" fillId="0" borderId="0" xfId="0" applyFont="1">
      <alignment horizontal="left" vertical="center" wrapText="1"/>
    </xf>
    <xf numFmtId="49" fontId="22" fillId="0" borderId="19" xfId="0" applyFont="1" applyBorder="1" applyNumberFormat="1">
      <alignment vertical="center" wrapText="1"/>
    </xf>
    <xf numFmtId="49" fontId="22" fillId="0" borderId="19" xfId="0" applyFont="1" applyBorder="1" applyNumberFormat="1">
      <alignment horizontal="left" vertical="center" wrapText="1"/>
    </xf>
    <xf numFmtId="49" fontId="36" fillId="0" borderId="19" xfId="0" applyFont="1" applyBorder="1" applyNumberFormat="1">
      <alignment vertical="center" wrapText="1"/>
    </xf>
    <xf numFmtId="49" fontId="22" fillId="0" borderId="19" xfId="0" applyFont="1" applyBorder="1" applyNumberFormat="1">
      <alignment horizontal="center" vertical="center" wrapText="1"/>
    </xf>
    <xf numFmtId="0" fontId="22" fillId="0" borderId="19" xfId="0" applyFont="1" applyBorder="1">
      <alignment horizontal="left" vertical="center" wrapText="1"/>
    </xf>
    <xf numFmtId="49" fontId="22" fillId="0" borderId="19" xfId="0" applyFont="1" applyBorder="1" applyNumberFormat="1">
      <alignment vertical="center" wrapText="1"/>
    </xf>
    <xf numFmtId="49" fontId="22" fillId="0" borderId="0" xfId="0" applyFont="1" applyNumberFormat="1">
      <alignment vertical="center" wrapText="1"/>
    </xf>
    <xf numFmtId="49" fontId="22" fillId="0" borderId="0" xfId="0" applyFont="1" applyNumberFormat="1">
      <alignment horizontal="left" vertical="center" wrapText="1"/>
    </xf>
    <xf numFmtId="49" fontId="36" fillId="0" borderId="0" xfId="0" applyFont="1" applyNumberFormat="1">
      <alignment vertical="center" wrapText="1"/>
    </xf>
    <xf numFmtId="49" fontId="22" fillId="0" borderId="0" xfId="0" applyFont="1" applyNumberFormat="1">
      <alignment horizontal="center" vertical="center" wrapText="1"/>
    </xf>
    <xf numFmtId="0" fontId="22" fillId="0" borderId="0" xfId="0" applyFont="1">
      <alignment horizontal="left" vertical="center" wrapText="1"/>
    </xf>
    <xf numFmtId="0" fontId="39" fillId="0" borderId="0" xfId="0" applyFont="1">
      <alignment horizontal="left" vertical="center"/>
    </xf>
    <xf numFmtId="49" fontId="36" fillId="0" borderId="0" xfId="0" applyFont="1" applyNumberFormat="1">
      <alignment horizontal="center" vertical="center" wrapText="1"/>
    </xf>
    <xf numFmtId="0" fontId="39" fillId="0" borderId="0" xfId="0" applyFont="1">
      <alignment vertical="center"/>
    </xf>
    <xf numFmtId="49" fontId="67" fillId="0" borderId="30" xfId="0" applyFont="1" applyBorder="1" applyNumberFormat="1">
      <alignment vertical="top"/>
    </xf>
    <xf numFmtId="49" fontId="22" fillId="0" borderId="37" xfId="0" applyFont="1" applyBorder="1" applyNumberFormat="1">
      <alignment vertical="center" wrapText="1"/>
    </xf>
    <xf numFmtId="49" fontId="22" fillId="0" borderId="22" xfId="0" applyFont="1" applyBorder="1" applyNumberFormat="1">
      <alignment vertical="center" wrapText="1"/>
    </xf>
    <xf numFmtId="0" fontId="39" fillId="0" borderId="22" xfId="0" applyFont="1" applyBorder="1">
      <alignment horizontal="left" vertical="center"/>
    </xf>
    <xf numFmtId="49" fontId="67" fillId="0" borderId="27" xfId="0" applyFont="1" applyBorder="1" applyNumberFormat="1">
      <alignment vertical="top"/>
    </xf>
    <xf numFmtId="49" fontId="22" fillId="0" borderId="36" xfId="0" applyFont="1" applyBorder="1" applyNumberFormat="1">
      <alignment horizontal="center" vertical="center" wrapText="1"/>
    </xf>
    <xf numFmtId="0" fontId="39" fillId="37" borderId="37" xfId="0" applyFont="1" applyFill="1" applyBorder="1">
      <alignment vertical="center"/>
    </xf>
    <xf numFmtId="49" fontId="0" fillId="0" borderId="12" xfId="0" applyFont="1" applyBorder="1" applyNumberFormat="1">
      <alignment horizontal="left" vertical="center" wrapText="1" indent="1"/>
    </xf>
    <xf numFmtId="49" fontId="0" fillId="0" borderId="0" xfId="0" applyFont="1" applyNumberFormat="1">
      <alignment vertical="top"/>
    </xf>
    <xf numFmtId="0" fontId="22" fillId="0" borderId="0" xfId="0" applyFont="1">
      <alignment vertical="center" wrapText="1"/>
    </xf>
    <xf numFmtId="0" fontId="31" fillId="0" borderId="0" xfId="0" applyFont="1">
      <alignment vertical="center" wrapText="1"/>
    </xf>
    <xf numFmtId="0" fontId="41" fillId="0" borderId="0" xfId="0" applyFont="1">
      <alignment vertical="center" wrapText="1"/>
    </xf>
    <xf numFmtId="0" fontId="22" fillId="0" borderId="0" xfId="0" applyFont="1">
      <alignment horizontal="left" vertical="center" wrapText="1"/>
    </xf>
    <xf numFmtId="0" fontId="58" fillId="0" borderId="0" xfId="0" applyFont="1">
      <alignment vertical="center" wrapText="1"/>
    </xf>
    <xf numFmtId="0" fontId="60" fillId="0" borderId="0" xfId="0" applyFont="1">
      <alignment vertical="center" wrapText="1"/>
    </xf>
    <xf numFmtId="0" fontId="88" fillId="0" borderId="0" xfId="0" applyFont="1">
      <alignment vertical="center" wrapText="1"/>
    </xf>
    <xf numFmtId="0" fontId="47" fillId="0" borderId="0" xfId="0" applyFont="1">
      <alignment vertical="center" wrapText="1"/>
    </xf>
    <xf numFmtId="0" fontId="64" fillId="0" borderId="0" xfId="0" applyFont="1">
      <alignment vertical="center" wrapText="1"/>
    </xf>
    <xf numFmtId="49" fontId="22" fillId="0" borderId="12" xfId="0" applyFont="1" applyBorder="1" applyNumberFormat="1">
      <alignment horizontal="center" vertical="center" wrapText="1"/>
    </xf>
    <xf numFmtId="0" fontId="36" fillId="35" borderId="12" xfId="0" applyFont="1" applyFill="1" applyBorder="1">
      <alignment horizontal="center" vertical="center" wrapText="1"/>
    </xf>
    <xf numFmtId="0" fontId="22" fillId="0" borderId="0" xfId="0" applyFont="1">
      <alignment vertical="center" wrapText="1"/>
    </xf>
    <xf numFmtId="0" fontId="36" fillId="35" borderId="0" xfId="0" applyFont="1" applyFill="1">
      <alignment horizontal="center" vertical="center" wrapText="1"/>
    </xf>
    <xf numFmtId="49" fontId="22" fillId="0" borderId="12" xfId="0" applyFont="1" applyBorder="1" applyNumberFormat="1">
      <alignment horizontal="center" vertical="center" wrapText="1"/>
    </xf>
    <xf numFmtId="3" fontId="22" fillId="39" borderId="12" xfId="0" applyFont="1" applyFill="1" applyBorder="1" applyNumberFormat="1">
      <alignment horizontal="right" vertical="center" wrapText="1"/>
      <protection locked="0"/>
    </xf>
    <xf numFmtId="0" fontId="47" fillId="0" borderId="0" xfId="0" applyFont="1">
      <alignment vertical="center" wrapText="1"/>
    </xf>
    <xf numFmtId="49" fontId="22" fillId="39" borderId="12" xfId="0" applyFont="1" applyFill="1" applyBorder="1" applyNumberFormat="1">
      <alignment horizontal="left" vertical="center" wrapText="1"/>
      <protection locked="0"/>
    </xf>
    <xf numFmtId="0" fontId="47" fillId="0" borderId="0" xfId="0" applyFont="1">
      <alignment vertical="center"/>
    </xf>
    <xf numFmtId="0" fontId="36" fillId="35" borderId="12" xfId="0" applyFont="1" applyFill="1" applyBorder="1">
      <alignment horizontal="center" vertical="center" wrapText="1"/>
    </xf>
    <xf numFmtId="0" fontId="46" fillId="0" borderId="22" xfId="0" applyFont="1" applyBorder="1">
      <alignment vertical="center"/>
    </xf>
    <xf numFmtId="0" fontId="46" fillId="0" borderId="22" xfId="0" applyFont="1" applyBorder="1">
      <alignment vertical="center"/>
    </xf>
    <xf numFmtId="0" fontId="22" fillId="0" borderId="17" xfId="0" applyFont="1" applyBorder="1">
      <alignment horizontal="left" vertical="center" wrapText="1" indent="1"/>
    </xf>
    <xf numFmtId="49" fontId="22" fillId="0" borderId="57" xfId="0" applyFont="1" applyBorder="1" applyNumberFormat="1">
      <alignment horizontal="center" vertical="center" wrapText="1"/>
    </xf>
    <xf numFmtId="49" fontId="22" fillId="0" borderId="28" xfId="0" applyFont="1" applyBorder="1" applyNumberFormat="1">
      <alignment horizontal="center" vertical="center" wrapText="1"/>
    </xf>
    <xf numFmtId="0" fontId="22" fillId="0" borderId="0" xfId="0" applyFont="1">
      <alignment vertical="center" wrapText="1"/>
    </xf>
    <xf numFmtId="0" fontId="31" fillId="0" borderId="0" xfId="0" applyFont="1">
      <alignment vertical="center" wrapText="1"/>
    </xf>
    <xf numFmtId="0" fontId="36" fillId="0" borderId="0" xfId="0" applyFont="1">
      <alignment horizontal="center" vertical="center" wrapText="1"/>
    </xf>
    <xf numFmtId="0" fontId="22" fillId="0" borderId="12" xfId="0" applyFont="1" applyBorder="1">
      <alignment horizontal="center" vertical="center" wrapText="1"/>
    </xf>
    <xf numFmtId="0" fontId="22" fillId="0" borderId="0" xfId="0" applyFont="1">
      <alignment vertical="center" wrapText="1"/>
    </xf>
    <xf numFmtId="0" fontId="47" fillId="0" borderId="0" xfId="0" applyFont="1">
      <alignment vertical="center" wrapText="1"/>
    </xf>
    <xf numFmtId="0" fontId="22" fillId="0" borderId="12" xfId="0" applyFont="1" applyBorder="1">
      <alignment horizontal="center" vertical="center" wrapText="1"/>
    </xf>
    <xf numFmtId="49" fontId="22" fillId="0" borderId="0" xfId="0" applyFont="1" applyNumberFormat="1">
      <alignment horizontal="center" vertical="center" wrapText="1"/>
    </xf>
    <xf numFmtId="0" fontId="22" fillId="0" borderId="12" xfId="0" applyFont="1" applyBorder="1">
      <alignment horizontal="center" vertical="center" wrapText="1"/>
    </xf>
    <xf numFmtId="0" fontId="54" fillId="0" borderId="0" xfId="0" applyFont="1">
      <alignment vertical="center"/>
    </xf>
    <xf numFmtId="0" fontId="72" fillId="0" borderId="0" xfId="0" applyFont="1">
      <alignment vertical="center" wrapText="1"/>
    </xf>
    <xf numFmtId="0" fontId="47" fillId="0" borderId="0" xfId="0" applyFont="1">
      <alignment vertical="center" wrapText="1"/>
    </xf>
    <xf numFmtId="0" fontId="22" fillId="0" borderId="13" xfId="0" applyFont="1" applyBorder="1">
      <alignment horizontal="center" vertical="center" wrapText="1"/>
    </xf>
    <xf numFmtId="0" fontId="22" fillId="0" borderId="17" xfId="0" applyFont="1" applyBorder="1">
      <alignment horizontal="center" vertical="center" wrapText="1"/>
    </xf>
    <xf numFmtId="0" fontId="22" fillId="0" borderId="15" xfId="0" applyFont="1" applyBorder="1">
      <alignment horizontal="right" vertical="center" wrapText="1" indent="1"/>
    </xf>
    <xf numFmtId="0" fontId="22" fillId="0" borderId="12" xfId="0" applyFont="1" applyBorder="1">
      <alignment horizontal="center" vertical="center" wrapText="1"/>
    </xf>
    <xf numFmtId="0" fontId="22" fillId="0" borderId="0" xfId="0" applyFont="1">
      <alignment horizontal="left" vertical="top" wrapText="1"/>
    </xf>
    <xf numFmtId="0" fontId="22" fillId="0" borderId="12" xfId="0" applyFont="1" applyBorder="1">
      <alignment horizontal="center" vertical="center" wrapText="1"/>
    </xf>
    <xf numFmtId="49" fontId="22" fillId="40" borderId="12" xfId="0" applyFont="1" applyFill="1" applyBorder="1" applyNumberFormat="1">
      <alignment horizontal="left" vertical="center" wrapText="1"/>
    </xf>
    <xf numFmtId="0" fontId="22" fillId="0" borderId="12" xfId="0" applyFont="1" applyBorder="1">
      <alignment horizontal="left" vertical="center" wrapText="1" indent="2"/>
    </xf>
    <xf numFmtId="0" fontId="47" fillId="0" borderId="17" xfId="0" applyFont="1" applyBorder="1">
      <alignment horizontal="center" vertical="center" wrapText="1"/>
    </xf>
    <xf numFmtId="0" fontId="22" fillId="34" borderId="14" xfId="0" applyFont="1" applyFill="1" applyBorder="1">
      <alignment horizontal="left" vertical="top" wrapText="1"/>
    </xf>
    <xf numFmtId="0" fontId="22" fillId="0" borderId="12" xfId="0" applyFont="1" applyBorder="1">
      <alignment horizontal="center" vertical="center" wrapText="1"/>
    </xf>
    <xf numFmtId="0" fontId="22" fillId="0" borderId="13" xfId="0" applyFont="1" applyBorder="1">
      <alignment horizontal="center" vertical="center" wrapText="1"/>
    </xf>
    <xf numFmtId="0" fontId="22" fillId="0" borderId="17" xfId="0" applyFont="1" applyBorder="1">
      <alignment horizontal="center" vertical="center" wrapText="1"/>
    </xf>
    <xf numFmtId="0" fontId="22" fillId="0" borderId="15" xfId="0" applyFont="1" applyBorder="1">
      <alignment horizontal="right" vertical="center" wrapText="1" indent="1"/>
    </xf>
    <xf numFmtId="0" fontId="22" fillId="0" borderId="12" xfId="0" applyFont="1" applyBorder="1">
      <alignment horizontal="center" vertical="center" wrapText="1"/>
    </xf>
    <xf numFmtId="0" fontId="22" fillId="0" borderId="12" xfId="0" applyFont="1" applyBorder="1">
      <alignment horizontal="center" vertical="center" wrapText="1"/>
    </xf>
    <xf numFmtId="0" fontId="22" fillId="34" borderId="14" xfId="0" applyFont="1" applyFill="1" applyBorder="1">
      <alignment horizontal="left" vertical="top" wrapText="1"/>
    </xf>
    <xf numFmtId="0" fontId="22" fillId="0" borderId="12" xfId="0" applyFont="1" applyBorder="1">
      <alignment horizontal="center" vertical="center" wrapText="1"/>
    </xf>
    <xf numFmtId="49" fontId="0" fillId="0" borderId="12" xfId="0" applyFont="1" applyBorder="1" applyNumberFormat="1">
      <alignment vertical="center" wrapText="1"/>
    </xf>
    <xf numFmtId="0" fontId="47" fillId="0" borderId="14" xfId="0" applyFont="1" applyBorder="1">
      <alignment vertical="center" wrapText="1"/>
    </xf>
    <xf numFmtId="0" fontId="47" fillId="0" borderId="14" xfId="0" applyFont="1" applyBorder="1">
      <alignment horizontal="left" vertical="top" wrapText="1"/>
    </xf>
    <xf numFmtId="49" fontId="22" fillId="0" borderId="58" xfId="0" applyFont="1" applyBorder="1" applyNumberFormat="1">
      <alignment horizontal="center" vertical="center" wrapText="1"/>
    </xf>
    <xf numFmtId="0" fontId="22" fillId="0" borderId="17" xfId="0" applyFont="1" applyBorder="1">
      <alignment horizontal="left" vertical="center" wrapText="1"/>
    </xf>
    <xf numFmtId="49" fontId="39" fillId="37" borderId="19" xfId="0" applyFont="1" applyFill="1" applyBorder="1" applyNumberFormat="1">
      <alignment horizontal="left" vertical="center" indent="2"/>
    </xf>
    <xf numFmtId="49" fontId="0" fillId="0" borderId="12" xfId="0" applyFont="1" applyBorder="1" applyNumberFormat="1">
      <alignment horizontal="left" vertical="center" wrapText="1" indent="1"/>
    </xf>
    <xf numFmtId="49" fontId="0" fillId="0" borderId="12" xfId="0" applyFont="1" applyBorder="1" applyNumberFormat="1">
      <alignment horizontal="left" vertical="center" wrapText="1" indent="2"/>
    </xf>
    <xf numFmtId="49" fontId="22" fillId="0" borderId="0" xfId="0" applyFont="1" applyNumberFormat="1">
      <alignment vertical="center" wrapText="1"/>
    </xf>
    <xf numFmtId="0" fontId="0" fillId="0" borderId="12" xfId="0" applyFont="1" applyBorder="1">
      <alignment horizontal="center" vertical="center" wrapText="1"/>
    </xf>
    <xf numFmtId="49" fontId="22" fillId="40" borderId="12" xfId="0" applyFont="1" applyFill="1" applyBorder="1" applyNumberFormat="1">
      <alignment horizontal="left" vertical="center" wrapText="1" indent="1"/>
    </xf>
    <xf numFmtId="0" fontId="0" fillId="0" borderId="12" xfId="0" applyFont="1" applyBorder="1">
      <alignment horizontal="left" vertical="center" wrapText="1" indent="1"/>
    </xf>
    <xf numFmtId="49" fontId="0" fillId="35" borderId="12" xfId="0" applyFont="1" applyFill="1" applyBorder="1" applyNumberFormat="1">
      <alignment horizontal="center" vertical="center" wrapText="1"/>
    </xf>
    <xf numFmtId="49" fontId="22" fillId="40" borderId="12" xfId="0" applyFont="1" applyFill="1" applyBorder="1" applyNumberFormat="1">
      <alignment horizontal="left" vertical="center" wrapText="1"/>
    </xf>
    <xf numFmtId="49" fontId="22" fillId="0" borderId="59" xfId="0" applyFont="1" applyBorder="1" applyNumberFormat="1">
      <alignment horizontal="center" vertical="center" wrapText="1"/>
    </xf>
    <xf numFmtId="4" fontId="22" fillId="39" borderId="17" xfId="0" applyFont="1" applyFill="1" applyBorder="1" applyNumberFormat="1">
      <alignment horizontal="right" vertical="center" wrapText="1"/>
      <protection locked="0"/>
    </xf>
    <xf numFmtId="49" fontId="39" fillId="0" borderId="19" xfId="0" applyFont="1" applyBorder="1" applyNumberFormat="1">
      <alignment horizontal="left" vertical="center"/>
    </xf>
    <xf numFmtId="49" fontId="39" fillId="0" borderId="19" xfId="0" applyFont="1" applyBorder="1" applyNumberFormat="1">
      <alignment horizontal="left" vertical="center" indent="2"/>
    </xf>
    <xf numFmtId="49" fontId="43" fillId="0" borderId="19" xfId="0" applyFont="1" applyBorder="1" applyNumberFormat="1">
      <alignment horizontal="center" vertical="top"/>
    </xf>
    <xf numFmtId="0" fontId="22" fillId="0" borderId="19" xfId="0" applyFont="1" applyBorder="1">
      <alignment horizontal="left" vertical="top" wrapText="1"/>
    </xf>
    <xf numFmtId="0" fontId="22" fillId="0" borderId="0" xfId="0" applyFont="1">
      <alignment horizontal="right" vertical="top" wrapText="1"/>
    </xf>
    <xf numFmtId="49" fontId="0" fillId="39" borderId="12" xfId="0" applyFont="1" applyFill="1" applyBorder="1" applyNumberFormat="1">
      <alignment horizontal="left" vertical="center" wrapText="1" indent="1"/>
      <protection locked="0"/>
    </xf>
    <xf numFmtId="49" fontId="46" fillId="0" borderId="0" xfId="0" applyFont="1" applyNumberFormat="1">
      <alignment vertical="top"/>
    </xf>
    <xf numFmtId="49" fontId="22" fillId="40" borderId="12" xfId="0" applyFont="1" applyFill="1" applyBorder="1" applyNumberFormat="1">
      <alignment horizontal="left" vertical="center" wrapText="1"/>
    </xf>
    <xf numFmtId="49" fontId="22" fillId="40" borderId="14" xfId="0" applyFont="1" applyFill="1" applyBorder="1" applyNumberFormat="1">
      <alignment horizontal="left" vertical="center" wrapText="1"/>
    </xf>
    <xf numFmtId="0" fontId="22" fillId="35" borderId="0" xfId="0" applyFont="1" applyFill="1"/>
    <xf numFmtId="0" fontId="22" fillId="0" borderId="0" xfId="0" applyFont="1">
      <alignment vertical="top" wrapText="1"/>
    </xf>
    <xf numFmtId="0" fontId="36" fillId="35" borderId="0" xfId="0" applyFont="1" applyFill="1">
      <alignment horizontal="center" vertical="center" wrapText="1"/>
    </xf>
    <xf numFmtId="0" fontId="0" fillId="35" borderId="23" xfId="0" applyFont="1" applyFill="1" applyBorder="1">
      <alignment vertical="center" wrapText="1"/>
    </xf>
    <xf numFmtId="49" fontId="0" fillId="0" borderId="0" xfId="0" applyFont="1" applyNumberFormat="1">
      <alignment vertical="top"/>
    </xf>
    <xf numFmtId="0" fontId="0" fillId="0" borderId="0" xfId="0" applyFont="1">
      <alignment vertical="top"/>
    </xf>
    <xf numFmtId="49" fontId="31" fillId="47" borderId="0" xfId="0" applyFont="1" applyFill="1" applyNumberFormat="1">
      <alignment horizontal="center" vertical="center"/>
    </xf>
    <xf numFmtId="0" fontId="0" fillId="48" borderId="0" xfId="0" applyFont="1" applyFill="1">
      <alignment horizontal="left" vertical="center"/>
    </xf>
    <xf numFmtId="49" fontId="0" fillId="0" borderId="0" xfId="0" applyFont="1" applyNumberFormat="1">
      <alignment vertical="center"/>
    </xf>
    <xf numFmtId="0" fontId="0" fillId="48" borderId="0" xfId="0" applyFont="1" applyFill="1">
      <alignment horizontal="right" vertical="center"/>
    </xf>
    <xf numFmtId="0" fontId="54" fillId="48" borderId="0" xfId="0" applyFont="1" applyFill="1">
      <alignment horizontal="left" vertical="center"/>
    </xf>
    <xf numFmtId="0" fontId="0" fillId="0" borderId="0" xfId="0" applyFont="1">
      <alignment horizontal="right" vertical="top"/>
    </xf>
    <xf numFmtId="0" fontId="0" fillId="48" borderId="10" xfId="0" applyFont="1" applyFill="1" applyBorder="1">
      <alignment horizontal="center"/>
    </xf>
    <xf numFmtId="0" fontId="0" fillId="0" borderId="10" xfId="0" applyFont="1" applyBorder="1">
      <alignment horizontal="center"/>
    </xf>
    <xf numFmtId="0" fontId="115" fillId="0" borderId="0" xfId="0" applyFont="1">
      <alignment wrapText="1"/>
    </xf>
    <xf numFmtId="49" fontId="66" fillId="0" borderId="0" xfId="0" applyFont="1" applyNumberFormat="1">
      <alignment wrapText="1"/>
    </xf>
    <xf numFmtId="49" fontId="66" fillId="0" borderId="0" xfId="0" applyFont="1" applyNumberFormat="1">
      <alignment vertical="center" wrapText="1"/>
    </xf>
    <xf numFmtId="49" fontId="116" fillId="0" borderId="0" xfId="0" applyFont="1" applyNumberFormat="1">
      <alignment wrapText="1"/>
    </xf>
    <xf numFmtId="0" fontId="29" fillId="0" borderId="0" xfId="0" applyFont="1"/>
    <xf numFmtId="0" fontId="102" fillId="0" borderId="0" xfId="0" applyFont="1">
      <alignment horizontal="left" vertical="center" wrapText="1"/>
    </xf>
    <xf numFmtId="49" fontId="117" fillId="0" borderId="0" xfId="0" applyFont="1" applyNumberFormat="1">
      <alignment wrapText="1"/>
    </xf>
    <xf numFmtId="0" fontId="45" fillId="0" borderId="0" xfId="0" applyFont="1">
      <alignment horizontal="left" vertical="top" wrapText="1"/>
    </xf>
    <xf numFmtId="49" fontId="22" fillId="0" borderId="0" xfId="0" applyFont="1" applyNumberFormat="1">
      <alignment vertical="top" wrapText="1"/>
    </xf>
    <xf numFmtId="0" fontId="66" fillId="0" borderId="0" xfId="0" applyFont="1">
      <alignment wrapText="1"/>
    </xf>
    <xf numFmtId="0" fontId="118" fillId="0" borderId="0" xfId="0" applyFont="1">
      <alignment horizontal="left" vertical="center" wrapText="1"/>
    </xf>
    <xf numFmtId="0" fontId="119" fillId="0" borderId="0" xfId="0" applyFont="1">
      <alignment vertical="center" wrapText="1"/>
    </xf>
    <xf numFmtId="0" fontId="66" fillId="0" borderId="38" xfId="0" applyFont="1" applyBorder="1">
      <alignment wrapText="1"/>
    </xf>
    <xf numFmtId="0" fontId="66" fillId="0" borderId="0" xfId="0" applyFont="1"/>
    <xf numFmtId="0" fontId="118" fillId="0" borderId="0" xfId="0" applyFont="1"/>
    <xf numFmtId="0" fontId="120" fillId="0" borderId="0" xfId="0" applyFont="1">
      <alignment wrapText="1"/>
    </xf>
    <xf numFmtId="0" fontId="0" fillId="36" borderId="60" xfId="0" applyFont="1" applyFill="1" applyBorder="1">
      <alignment horizontal="center" vertical="center" wrapText="1"/>
    </xf>
    <xf numFmtId="0" fontId="0" fillId="53" borderId="60" xfId="0" applyFont="1" applyFill="1" applyBorder="1">
      <alignment horizontal="center" vertical="center" wrapText="1"/>
    </xf>
    <xf numFmtId="0" fontId="0" fillId="34" borderId="60" xfId="0" applyFont="1" applyFill="1" applyBorder="1">
      <alignment horizontal="center" vertical="center" wrapText="1"/>
    </xf>
    <xf numFmtId="0" fontId="0" fillId="39" borderId="60" xfId="0" applyFont="1" applyFill="1" applyBorder="1">
      <alignment horizontal="center" vertical="center" wrapText="1"/>
    </xf>
    <xf numFmtId="0" fontId="118" fillId="0" borderId="38" xfId="0" applyFont="1" applyBorder="1">
      <alignment horizontal="left" vertical="center" wrapText="1"/>
    </xf>
    <xf numFmtId="0" fontId="118" fillId="0" borderId="61" xfId="0" applyFont="1" applyBorder="1">
      <alignment horizontal="left" vertical="center" wrapText="1"/>
    </xf>
    <xf numFmtId="0" fontId="120" fillId="0" borderId="0" xfId="0" applyFont="1"/>
    <xf numFmtId="0" fontId="120" fillId="0" borderId="38" xfId="0" applyFont="1" applyBorder="1">
      <alignment wrapText="1"/>
    </xf>
    <xf numFmtId="0" fontId="66" fillId="0" borderId="62" xfId="0" applyFont="1" applyBorder="1">
      <alignment wrapText="1"/>
    </xf>
    <xf numFmtId="0" fontId="66" fillId="0" borderId="39" xfId="0" applyFont="1" applyBorder="1">
      <alignment wrapText="1"/>
    </xf>
    <xf numFmtId="0" fontId="66" fillId="0" borderId="39" xfId="0" applyFont="1" applyBorder="1">
      <alignment vertical="center" wrapText="1"/>
    </xf>
    <xf numFmtId="0" fontId="116" fillId="0" borderId="0" xfId="0" applyFont="1"/>
    <xf numFmtId="0" fontId="35" fillId="0" borderId="24" xfId="0" applyFont="1" applyBorder="1">
      <alignment horizontal="center" vertical="center" wrapText="1"/>
    </xf>
    <xf numFmtId="49" fontId="22" fillId="0" borderId="13" xfId="0" applyFont="1" applyBorder="1" applyNumberFormat="1">
      <alignment horizontal="center" vertical="center" wrapText="1"/>
    </xf>
    <xf numFmtId="49" fontId="121" fillId="0" borderId="0" xfId="0" applyFont="1" applyNumberFormat="1">
      <alignment horizontal="center" vertical="center" wrapText="1"/>
    </xf>
    <xf numFmtId="49" fontId="22" fillId="48" borderId="0" xfId="0" applyFont="1" applyFill="1" applyNumberFormat="1">
      <alignment horizontal="center" vertical="center"/>
    </xf>
    <xf numFmtId="201" fontId="0" fillId="39" borderId="12" xfId="0" applyFont="1" applyFill="1" applyBorder="1" applyNumberFormat="1">
      <alignment horizontal="left" vertical="center" wrapText="1" indent="1"/>
      <protection locked="0"/>
    </xf>
    <xf numFmtId="201" fontId="0" fillId="0" borderId="12" xfId="0" applyFont="1" applyBorder="1" applyNumberFormat="1">
      <alignment horizontal="left" vertical="center" wrapText="1" indent="1"/>
    </xf>
    <xf numFmtId="201" fontId="0" fillId="39" borderId="12" xfId="0" applyFont="1" applyFill="1" applyBorder="1" applyNumberFormat="1">
      <alignment horizontal="center" vertical="center" wrapText="1"/>
      <protection locked="0"/>
    </xf>
    <xf numFmtId="201" fontId="47" fillId="0" borderId="0" xfId="0" applyFont="1" applyNumberFormat="1">
      <alignment horizontal="center" vertical="center" wrapText="1"/>
    </xf>
    <xf numFmtId="201" fontId="47" fillId="0" borderId="12" xfId="0" applyFont="1" applyBorder="1" applyNumberFormat="1">
      <alignment horizontal="center" vertical="center" wrapText="1"/>
    </xf>
    <xf numFmtId="201" fontId="0" fillId="39" borderId="12" xfId="0" applyFont="1" applyFill="1" applyBorder="1" applyNumberFormat="1">
      <alignment horizontal="left" vertical="center" wrapText="1"/>
      <protection locked="0"/>
    </xf>
    <xf numFmtId="201" fontId="0" fillId="36" borderId="12" xfId="0" applyFont="1" applyFill="1" applyBorder="1" applyNumberFormat="1">
      <alignment horizontal="left" vertical="center" wrapText="1" indent="1"/>
      <protection locked="0"/>
    </xf>
    <xf numFmtId="201" fontId="0" fillId="39" borderId="13" xfId="0" applyFont="1" applyFill="1" applyBorder="1" applyNumberFormat="1">
      <alignment horizontal="left" vertical="center" wrapText="1"/>
      <protection locked="0"/>
    </xf>
    <xf numFmtId="0" fontId="22" fillId="0" borderId="0" xfId="0" applyFont="1">
      <alignment horizontal="left" vertical="top" indent="1"/>
    </xf>
    <xf numFmtId="0" fontId="22" fillId="34" borderId="30" xfId="0" applyFont="1" applyFill="1" applyBorder="1">
      <alignment horizontal="center" vertical="top"/>
    </xf>
    <xf numFmtId="0" fontId="0" fillId="0" borderId="34" xfId="0" applyFont="1" applyBorder="1">
      <alignment horizontal="center" vertical="center"/>
    </xf>
    <xf numFmtId="0" fontId="0" fillId="0" borderId="33" xfId="0" applyFont="1" applyBorder="1">
      <alignment horizontal="center" vertical="center"/>
    </xf>
    <xf numFmtId="0" fontId="22" fillId="34" borderId="30" xfId="0" applyFont="1" applyFill="1" applyBorder="1">
      <alignment horizontal="left" vertical="top"/>
    </xf>
    <xf numFmtId="0" fontId="22" fillId="0" borderId="12" xfId="0" applyFont="1" applyBorder="1">
      <alignment horizontal="left" vertical="top"/>
    </xf>
    <xf numFmtId="49" fontId="22" fillId="0" borderId="0" xfId="0" applyFont="1" applyNumberFormat="1">
      <alignment horizontal="left" vertical="top"/>
    </xf>
    <xf numFmtId="0" fontId="0" fillId="34" borderId="36" xfId="0" applyFont="1" applyFill="1" applyBorder="1">
      <alignment horizontal="left" vertical="top" wrapText="1" indent="1"/>
    </xf>
    <xf numFmtId="49" fontId="22" fillId="40" borderId="36" xfId="0" applyFont="1" applyFill="1" applyBorder="1" applyNumberFormat="1">
      <alignment horizontal="center" vertical="top" wrapText="1"/>
    </xf>
    <xf numFmtId="49" fontId="0" fillId="39" borderId="36" xfId="0" applyFont="1" applyFill="1" applyBorder="1" applyNumberFormat="1">
      <alignment horizontal="center" vertical="top" wrapText="1"/>
      <protection locked="0"/>
    </xf>
    <xf numFmtId="49" fontId="0" fillId="36" borderId="36" xfId="0" applyFont="1" applyFill="1" applyBorder="1" applyNumberFormat="1">
      <alignment horizontal="center" vertical="top" wrapText="1"/>
      <protection locked="0"/>
    </xf>
    <xf numFmtId="49" fontId="22" fillId="40" borderId="36" xfId="0" applyFont="1" applyFill="1" applyBorder="1" applyNumberFormat="1">
      <alignment horizontal="left" vertical="top" wrapText="1"/>
    </xf>
    <xf numFmtId="49" fontId="22" fillId="39" borderId="36" xfId="0" applyFont="1" applyFill="1" applyBorder="1" applyNumberFormat="1">
      <alignment horizontal="left" vertical="top" wrapText="1"/>
      <protection locked="0"/>
    </xf>
    <xf numFmtId="49" fontId="0" fillId="34" borderId="36" xfId="0" applyFont="1" applyFill="1" applyBorder="1" applyNumberFormat="1">
      <alignment horizontal="center" vertical="top" wrapText="1"/>
    </xf>
    <xf numFmtId="0" fontId="22" fillId="34" borderId="36" xfId="0" applyFont="1" applyFill="1" applyBorder="1">
      <alignment horizontal="center" vertical="top" wrapText="1"/>
    </xf>
    <xf numFmtId="0" fontId="22" fillId="36" borderId="36" xfId="0" applyFont="1" applyFill="1" applyBorder="1">
      <alignment horizontal="left" vertical="top" wrapText="1"/>
      <protection locked="0"/>
    </xf>
    <xf numFmtId="0" fontId="39" fillId="0" borderId="36" xfId="0" applyFont="1" applyBorder="1">
      <alignment horizontal="left" vertical="center"/>
    </xf>
    <xf numFmtId="0" fontId="39" fillId="36" borderId="36" xfId="0" applyFont="1" applyFill="1" applyBorder="1">
      <alignment horizontal="left" vertical="center"/>
      <protection locked="0"/>
    </xf>
    <xf numFmtId="0" fontId="39" fillId="39" borderId="36" xfId="0" applyFont="1" applyFill="1" applyBorder="1">
      <alignment horizontal="left" vertical="center"/>
      <protection locked="0"/>
    </xf>
    <xf numFmtId="14" fontId="22" fillId="40" borderId="36" xfId="0" applyFont="1" applyFill="1" applyBorder="1" applyNumberFormat="1">
      <alignment horizontal="left" vertical="center" wrapText="1" indent="1"/>
    </xf>
    <xf numFmtId="49" fontId="22" fillId="40" borderId="0" xfId="0" applyFont="1" applyFill="1" applyNumberFormat="1">
      <alignment horizontal="center" vertical="center" wrapText="1"/>
    </xf>
    <xf numFmtId="0" fontId="22" fillId="0" borderId="12" xfId="0" applyFont="1" applyBorder="1">
      <alignment horizontal="center" vertical="center" wrapText="1"/>
    </xf>
    <xf numFmtId="0" fontId="0" fillId="35" borderId="12" xfId="0" applyFont="1" applyFill="1" applyBorder="1">
      <alignment vertical="top" wrapText="1"/>
    </xf>
    <xf numFmtId="0" fontId="46" fillId="0" borderId="12" xfId="0" applyFont="1" applyBorder="1">
      <alignment vertical="top" wrapText="1"/>
    </xf>
    <xf numFmtId="49" fontId="22" fillId="40" borderId="17" xfId="0" applyFont="1" applyFill="1" applyBorder="1" applyNumberFormat="1">
      <alignment vertical="center" wrapText="1"/>
    </xf>
    <xf numFmtId="49" fontId="22" fillId="40" borderId="36" xfId="0" applyFont="1" applyFill="1" applyBorder="1" applyNumberFormat="1">
      <alignment vertical="center" wrapText="1"/>
    </xf>
    <xf numFmtId="49" fontId="22" fillId="40" borderId="23" xfId="0" applyFont="1" applyFill="1" applyBorder="1" applyNumberFormat="1">
      <alignment vertical="center" wrapText="1"/>
    </xf>
    <xf numFmtId="0" fontId="0" fillId="39" borderId="12" xfId="0" applyFont="1" applyFill="1" applyBorder="1">
      <alignment horizontal="left" vertical="center" wrapText="1" indent="1"/>
      <protection locked="0"/>
    </xf>
    <xf numFmtId="0" fontId="0" fillId="0" borderId="13" xfId="0" applyFont="1" applyBorder="1">
      <alignment horizontal="center" vertical="center" wrapText="1"/>
    </xf>
    <xf numFmtId="0" fontId="22" fillId="0" borderId="12" xfId="0" applyFont="1" applyBorder="1">
      <alignment horizontal="left" vertical="center" wrapText="1"/>
    </xf>
    <xf numFmtId="0" fontId="0" fillId="0" borderId="12" xfId="0" applyFont="1" applyBorder="1">
      <alignment horizontal="center" vertical="center" wrapText="1"/>
    </xf>
    <xf numFmtId="0" fontId="0" fillId="0" borderId="13" xfId="0" applyFont="1" applyBorder="1">
      <alignment horizontal="center" vertical="center" wrapText="1"/>
    </xf>
    <xf numFmtId="49" fontId="22" fillId="0" borderId="0" xfId="0" applyFont="1" applyNumberFormat="1">
      <alignment horizontal="left" vertical="center" indent="1"/>
    </xf>
    <xf numFmtId="201" fontId="0" fillId="39" borderId="14" xfId="0" applyFont="1" applyFill="1" applyBorder="1" applyNumberFormat="1">
      <alignment horizontal="left" vertical="center" wrapText="1"/>
      <protection locked="0"/>
    </xf>
    <xf numFmtId="201" fontId="0" fillId="0" borderId="11" xfId="0" applyFont="1" applyBorder="1" applyNumberFormat="1">
      <alignment horizontal="left" vertical="center" wrapText="1" indent="1"/>
    </xf>
    <xf numFmtId="49" fontId="22" fillId="35" borderId="26" xfId="0" applyFont="1" applyFill="1" applyBorder="1" applyNumberFormat="1">
      <alignment horizontal="right" vertical="center" wrapText="1" indent="1"/>
    </xf>
    <xf numFmtId="49" fontId="46" fillId="0" borderId="0" xfId="0" applyFont="1" applyNumberFormat="1">
      <alignment vertical="center" wrapText="1"/>
    </xf>
    <xf numFmtId="49" fontId="0" fillId="36" borderId="12" xfId="0" applyFont="1" applyFill="1" applyBorder="1" applyNumberFormat="1">
      <alignment horizontal="left" vertical="center" wrapText="1"/>
      <protection locked="0"/>
    </xf>
    <xf numFmtId="4" fontId="0" fillId="39" borderId="12" xfId="0" applyFont="1" applyFill="1" applyBorder="1" applyNumberFormat="1">
      <alignment horizontal="right" vertical="center" wrapText="1"/>
      <protection locked="0"/>
    </xf>
    <xf numFmtId="49" fontId="22" fillId="0" borderId="0" xfId="0" applyFont="1" applyNumberFormat="1">
      <alignment vertical="top" wrapText="1"/>
    </xf>
    <xf numFmtId="49" fontId="22" fillId="0" borderId="0" xfId="0" applyFont="1" applyNumberFormat="1">
      <alignment vertical="top"/>
    </xf>
    <xf numFmtId="49" fontId="22" fillId="0" borderId="0" xfId="0" applyFont="1" applyNumberFormat="1">
      <alignment vertical="top"/>
    </xf>
    <xf numFmtId="49" fontId="22" fillId="0" borderId="12" xfId="0" applyFont="1" applyBorder="1" applyNumberFormat="1">
      <alignment horizontal="center" vertical="center" wrapText="1"/>
    </xf>
    <xf numFmtId="49" fontId="22" fillId="0" borderId="19" xfId="0" applyFont="1" applyBorder="1" applyNumberFormat="1">
      <alignment horizontal="center" vertical="center" wrapText="1"/>
    </xf>
    <xf numFmtId="0" fontId="22" fillId="40" borderId="36" xfId="0" applyFont="1" applyFill="1" applyBorder="1">
      <alignment horizontal="center" vertical="top" wrapText="1"/>
    </xf>
    <xf numFmtId="49" fontId="22" fillId="0" borderId="19" xfId="0" applyFont="1" applyBorder="1" applyNumberFormat="1">
      <alignment horizontal="left" vertical="center" wrapText="1"/>
    </xf>
    <xf numFmtId="49" fontId="22" fillId="0" borderId="0" xfId="0" applyFont="1" applyNumberFormat="1">
      <alignment horizontal="center" vertical="center" wrapText="1"/>
    </xf>
    <xf numFmtId="49" fontId="22" fillId="40" borderId="36" xfId="0" applyFont="1" applyFill="1" applyBorder="1" applyNumberFormat="1">
      <alignment horizontal="center" vertical="center" wrapText="1"/>
    </xf>
    <xf numFmtId="0" fontId="39" fillId="0" borderId="0" xfId="0" applyFont="1">
      <alignment horizontal="left" vertical="center"/>
    </xf>
    <xf numFmtId="49" fontId="22" fillId="0" borderId="19" xfId="0" applyFont="1" applyBorder="1" applyNumberFormat="1">
      <alignment horizontal="left" vertical="center" wrapText="1"/>
    </xf>
    <xf numFmtId="49" fontId="22" fillId="0" borderId="0" xfId="0" applyFont="1" applyNumberFormat="1">
      <alignment horizontal="left" vertical="center" wrapText="1"/>
    </xf>
    <xf numFmtId="49" fontId="22" fillId="35" borderId="0" xfId="0" applyFont="1" applyFill="1" applyNumberFormat="1">
      <alignment horizontal="center" vertical="center" wrapText="1"/>
    </xf>
    <xf numFmtId="0" fontId="22" fillId="0" borderId="12" xfId="0" applyFont="1" applyBorder="1">
      <alignment horizontal="center" vertical="center" wrapText="1"/>
    </xf>
    <xf numFmtId="0" fontId="47" fillId="0" borderId="0" xfId="0" applyFont="1">
      <alignment horizontal="center" vertical="center" wrapText="1"/>
    </xf>
    <xf numFmtId="0" fontId="44" fillId="0" borderId="12" xfId="0" applyFont="1" applyBorder="1">
      <alignment horizontal="center" vertical="center"/>
    </xf>
    <xf numFmtId="49" fontId="0" fillId="39" borderId="12" xfId="0" applyFont="1" applyFill="1" applyBorder="1" applyNumberFormat="1">
      <alignment horizontal="left" vertical="center" wrapText="1"/>
      <protection locked="0"/>
    </xf>
    <xf numFmtId="0" fontId="46" fillId="0" borderId="0" xfId="0" applyFont="1">
      <alignment horizontal="center" vertical="top"/>
    </xf>
    <xf numFmtId="49" fontId="22" fillId="0" borderId="36" xfId="0" applyFont="1" applyBorder="1" applyNumberFormat="1">
      <alignment horizontal="center" vertical="top" wrapText="1"/>
    </xf>
    <xf numFmtId="0" fontId="22" fillId="0" borderId="12" xfId="0" applyFont="1" applyBorder="1">
      <alignment horizontal="left" vertical="center" wrapText="1"/>
    </xf>
    <xf numFmtId="0" fontId="35" fillId="0" borderId="12" xfId="0" applyFont="1" applyBorder="1">
      <alignment horizontal="center" vertical="center" wrapText="1"/>
    </xf>
    <xf numFmtId="49" fontId="39" fillId="37" borderId="51" xfId="0" applyFont="1" applyFill="1" applyBorder="1" applyNumberFormat="1">
      <alignment horizontal="left" vertical="center" indent="1"/>
    </xf>
    <xf numFmtId="49" fontId="22" fillId="36" borderId="12" xfId="0" applyFont="1" applyFill="1" applyBorder="1" applyNumberFormat="1">
      <alignment horizontal="left" vertical="center" wrapText="1"/>
      <protection locked="0"/>
    </xf>
    <xf numFmtId="49" fontId="47" fillId="0" borderId="12" xfId="0" applyFont="1" applyBorder="1" applyNumberFormat="1">
      <alignment horizontal="center" vertical="center" wrapText="1"/>
    </xf>
    <xf numFmtId="201" fontId="0" fillId="39" borderId="12" xfId="0" applyFont="1" applyFill="1" applyBorder="1" applyNumberFormat="1">
      <alignment horizontal="center" vertical="center" wrapText="1"/>
      <protection locked="0"/>
    </xf>
    <xf numFmtId="49" fontId="0" fillId="39" borderId="12" xfId="0" applyFont="1" applyFill="1" applyBorder="1" applyNumberFormat="1">
      <alignment horizontal="center" vertical="center" wrapText="1"/>
      <protection locked="0"/>
    </xf>
    <xf numFmtId="0" fontId="22" fillId="0" borderId="12" xfId="0" applyFont="1" applyBorder="1">
      <alignment horizontal="center" vertical="center" wrapText="1"/>
    </xf>
    <xf numFmtId="0" fontId="46" fillId="0" borderId="0" xfId="0" applyFont="1">
      <alignment horizontal="center" vertical="center" wrapText="1"/>
    </xf>
    <xf numFmtId="0" fontId="0" fillId="0" borderId="12" xfId="0" applyFont="1" applyBorder="1">
      <alignment horizontal="left" vertical="center" wrapText="1"/>
    </xf>
    <xf numFmtId="0" fontId="22" fillId="0" borderId="36" xfId="0" applyFont="1" applyBorder="1">
      <alignment horizontal="center" vertical="center" wrapText="1"/>
    </xf>
    <xf numFmtId="0" fontId="22" fillId="35" borderId="14" xfId="0" applyFont="1" applyFill="1" applyBorder="1">
      <alignment horizontal="center" vertical="center" wrapText="1"/>
    </xf>
    <xf numFmtId="49" fontId="0" fillId="35" borderId="12" xfId="0" applyFont="1" applyFill="1" applyBorder="1" applyNumberFormat="1">
      <alignment horizontal="center" vertical="center" wrapText="1"/>
    </xf>
    <xf numFmtId="49" fontId="22" fillId="0" borderId="12" xfId="0" applyFont="1" applyBorder="1" applyNumberFormat="1">
      <alignment horizontal="center" vertical="center" wrapText="1"/>
    </xf>
    <xf numFmtId="49" fontId="22" fillId="40" borderId="14" xfId="0" applyFont="1" applyFill="1" applyBorder="1" applyNumberFormat="1">
      <alignment horizontal="left" vertical="center" wrapText="1"/>
    </xf>
    <xf numFmtId="0" fontId="22" fillId="0" borderId="23" xfId="0" applyFont="1" applyBorder="1">
      <alignment horizontal="center" vertical="center" wrapText="1"/>
    </xf>
    <xf numFmtId="0" fontId="44" fillId="0" borderId="13" xfId="0" applyFont="1" applyBorder="1">
      <alignment horizontal="center" vertical="center"/>
    </xf>
    <xf numFmtId="49" fontId="0" fillId="38" borderId="0" xfId="0" applyFont="1" applyFill="1" applyNumberFormat="1">
      <alignment vertical="top"/>
    </xf>
    <xf numFmtId="0" fontId="36" fillId="35" borderId="0" xfId="0" applyFont="1" applyFill="1">
      <alignment horizontal="center" vertical="center" wrapText="1"/>
    </xf>
    <xf numFmtId="0" fontId="36" fillId="35" borderId="0" xfId="0" applyFont="1" applyFill="1">
      <alignment horizontal="center"/>
    </xf>
    <xf numFmtId="0" fontId="36" fillId="0" borderId="0" xfId="0" applyFont="1">
      <alignment horizontal="center" vertical="center" wrapText="1"/>
    </xf>
    <xf numFmtId="0" fontId="41" fillId="0" borderId="0" xfId="0" applyFont="1">
      <alignment vertical="center" wrapText="1"/>
    </xf>
    <xf numFmtId="0" fontId="0" fillId="0" borderId="0" xfId="0" applyFont="1">
      <alignment vertical="center"/>
    </xf>
    <xf numFmtId="49" fontId="0" fillId="0" borderId="12" xfId="0" applyFont="1" applyBorder="1" applyNumberFormat="1">
      <alignment vertical="top"/>
    </xf>
    <xf numFmtId="49" fontId="0" fillId="0" borderId="12" xfId="0" applyFont="1" applyBorder="1" applyNumberFormat="1">
      <alignment vertical="top"/>
    </xf>
    <xf numFmtId="49" fontId="22" fillId="0" borderId="0" xfId="0" applyFont="1" applyNumberFormat="1">
      <alignment vertical="top"/>
    </xf>
    <xf numFmtId="0" fontId="36" fillId="35" borderId="0" xfId="0" applyFont="1" applyFill="1">
      <alignment vertical="top" wrapText="1"/>
    </xf>
    <xf numFmtId="49" fontId="122" fillId="39" borderId="12" xfId="0" applyFont="1" applyFill="1" applyBorder="1" applyNumberFormat="1">
      <alignment horizontal="left" vertical="center" wrapText="1"/>
      <protection locked="0"/>
    </xf>
    <xf numFmtId="49" fontId="36" fillId="0" borderId="0" xfId="0" applyFont="1" applyNumberFormat="1">
      <alignment horizontal="center" vertical="center" wrapText="1"/>
    </xf>
    <xf numFmtId="0" fontId="36" fillId="0" borderId="24" xfId="0" applyFont="1" applyBorder="1">
      <alignment horizontal="center" vertical="center" wrapText="1"/>
    </xf>
    <xf numFmtId="49" fontId="123" fillId="0" borderId="0" xfId="0" applyFont="1" applyNumberFormat="1">
      <alignment horizontal="center" vertical="top" wrapText="1"/>
    </xf>
    <xf numFmtId="49" fontId="0" fillId="34" borderId="36" xfId="0" applyFont="1" applyFill="1" applyBorder="1" applyNumberFormat="1">
      <alignment vertical="top"/>
    </xf>
    <xf numFmtId="49" fontId="0" fillId="0" borderId="36" xfId="0" applyFont="1" applyBorder="1" applyNumberFormat="1">
      <alignment vertical="top"/>
    </xf>
    <xf numFmtId="49" fontId="0" fillId="39" borderId="36" xfId="0" applyFont="1" applyFill="1" applyBorder="1" applyNumberFormat="1">
      <alignment vertical="top"/>
      <protection locked="0"/>
    </xf>
    <xf numFmtId="49" fontId="0" fillId="39" borderId="17" xfId="0" applyFont="1" applyFill="1" applyBorder="1" applyNumberFormat="1">
      <alignment vertical="top"/>
      <protection locked="0"/>
    </xf>
    <xf numFmtId="49" fontId="0" fillId="39" borderId="23" xfId="0" applyFont="1" applyFill="1" applyBorder="1" applyNumberFormat="1">
      <alignment vertical="top"/>
      <protection locked="0"/>
    </xf>
    <xf numFmtId="49" fontId="123" fillId="0" borderId="36" xfId="0" applyFont="1" applyBorder="1" applyNumberFormat="1">
      <alignment horizontal="center" vertical="top" wrapText="1"/>
    </xf>
    <xf numFmtId="49" fontId="0" fillId="0" borderId="0" xfId="0" applyFont="1" applyNumberFormat="1">
      <alignment vertical="top"/>
    </xf>
    <xf numFmtId="49" fontId="0" fillId="0" borderId="19" xfId="0" applyFont="1" applyBorder="1" applyNumberFormat="1">
      <alignment vertical="top"/>
    </xf>
    <xf numFmtId="49" fontId="0" fillId="0" borderId="22" xfId="0" applyFont="1" applyBorder="1" applyNumberFormat="1">
      <alignment vertical="top"/>
    </xf>
    <xf numFmtId="49" fontId="0" fillId="0" borderId="24" xfId="0" applyFont="1" applyBorder="1" applyNumberFormat="1">
      <alignment vertical="top"/>
    </xf>
    <xf numFmtId="49" fontId="0" fillId="0" borderId="0" xfId="0" applyFont="1" applyNumberFormat="1">
      <alignment horizontal="left" vertical="top"/>
    </xf>
    <xf numFmtId="49" fontId="0" fillId="0" borderId="0" xfId="0" applyFont="1" applyNumberFormat="1">
      <alignment vertical="center"/>
    </xf>
    <xf numFmtId="0" fontId="0" fillId="0" borderId="0" xfId="0" applyFont="1">
      <alignment vertical="center"/>
    </xf>
    <xf numFmtId="0" fontId="36" fillId="0" borderId="0" xfId="0" applyFont="1">
      <alignment horizontal="center" vertical="center" wrapText="1"/>
    </xf>
    <xf numFmtId="49" fontId="0" fillId="39" borderId="12" xfId="0" applyFont="1" applyFill="1" applyBorder="1" applyNumberFormat="1">
      <alignment horizontal="left" vertical="center" wrapText="1"/>
      <protection locked="0"/>
    </xf>
    <xf numFmtId="0" fontId="0" fillId="0" borderId="0" xfId="0" applyFont="1">
      <alignment horizontal="left" vertical="center" indent="1"/>
    </xf>
    <xf numFmtId="0" fontId="0" fillId="0" borderId="0" xfId="0" applyFont="1">
      <alignment vertical="center"/>
    </xf>
    <xf numFmtId="0" fontId="0" fillId="37" borderId="15" xfId="0" applyFont="1" applyFill="1" applyBorder="1">
      <alignment vertical="center"/>
    </xf>
    <xf numFmtId="49" fontId="0" fillId="0" borderId="36" xfId="0" applyFont="1" applyBorder="1" applyNumberFormat="1">
      <alignment horizontal="left" vertical="top"/>
    </xf>
    <xf numFmtId="49" fontId="0" fillId="40" borderId="36" xfId="0" applyFont="1" applyFill="1" applyBorder="1" applyNumberFormat="1">
      <alignment horizontal="left" vertical="top"/>
    </xf>
    <xf numFmtId="49" fontId="0" fillId="36" borderId="36" xfId="0" applyFont="1" applyFill="1" applyBorder="1" applyNumberFormat="1">
      <alignment horizontal="left" vertical="top"/>
      <protection locked="0"/>
    </xf>
    <xf numFmtId="49" fontId="0" fillId="0" borderId="0" xfId="0" applyFont="1" applyNumberFormat="1">
      <alignment vertical="top"/>
    </xf>
    <xf numFmtId="49" fontId="0" fillId="36" borderId="36" xfId="0" applyFont="1" applyFill="1" applyBorder="1" applyNumberFormat="1">
      <alignment vertical="top"/>
      <protection locked="0"/>
    </xf>
    <xf numFmtId="49" fontId="0" fillId="0" borderId="19" xfId="0" applyFont="1" applyBorder="1" applyNumberFormat="1">
      <alignment horizontal="left" vertical="center" wrapText="1"/>
    </xf>
    <xf numFmtId="0" fontId="0" fillId="0" borderId="0" xfId="0" applyFont="1">
      <alignment vertical="center"/>
    </xf>
    <xf numFmtId="0" fontId="0" fillId="0" borderId="27" xfId="0" applyFont="1" applyBorder="1">
      <alignment vertical="center"/>
    </xf>
    <xf numFmtId="49" fontId="36" fillId="0" borderId="36" xfId="0" applyFont="1" applyBorder="1" applyNumberFormat="1">
      <alignment vertical="center" wrapText="1"/>
    </xf>
    <xf numFmtId="49" fontId="36" fillId="0" borderId="36" xfId="0" applyFont="1" applyBorder="1" applyNumberFormat="1">
      <alignment horizontal="center" vertical="center" wrapText="1"/>
    </xf>
    <xf numFmtId="49" fontId="36" fillId="0" borderId="19" xfId="0" applyFont="1" applyBorder="1" applyNumberFormat="1">
      <alignment vertical="center" wrapText="1"/>
    </xf>
    <xf numFmtId="49" fontId="36" fillId="0" borderId="0" xfId="0" applyFont="1" applyNumberFormat="1">
      <alignment vertical="center" wrapText="1"/>
    </xf>
    <xf numFmtId="49" fontId="36" fillId="0" borderId="0" xfId="0" applyFont="1" applyNumberFormat="1">
      <alignment horizontal="center" vertical="center" wrapText="1"/>
    </xf>
    <xf numFmtId="0" fontId="22" fillId="35" borderId="23" xfId="0" applyFont="1" applyFill="1" applyBorder="1">
      <alignment horizontal="center" vertical="center" wrapText="1"/>
    </xf>
    <xf numFmtId="0" fontId="22" fillId="0" borderId="36" xfId="0" applyFont="1" applyBorder="1">
      <alignment horizontal="left" vertical="top" wrapText="1"/>
    </xf>
    <xf numFmtId="0" fontId="0" fillId="0" borderId="13" xfId="0" applyFont="1" applyBorder="1">
      <alignment horizontal="center" vertical="center" wrapText="1"/>
    </xf>
    <xf numFmtId="4" fontId="0" fillId="39" borderId="13" xfId="0" applyFont="1" applyFill="1" applyBorder="1" applyNumberFormat="1">
      <alignment horizontal="right" vertical="center" wrapText="1"/>
      <protection locked="0"/>
    </xf>
    <xf numFmtId="0" fontId="0" fillId="0" borderId="13" xfId="0" applyFont="1" applyBorder="1">
      <alignment horizontal="center" vertical="center" wrapText="1"/>
    </xf>
    <xf numFmtId="0" fontId="22" fillId="40" borderId="12" xfId="0" applyFont="1" applyFill="1" applyBorder="1">
      <alignment horizontal="left" vertical="center" wrapText="1"/>
    </xf>
    <xf numFmtId="49" fontId="0" fillId="35" borderId="17" xfId="0" applyFont="1" applyFill="1" applyBorder="1" applyNumberFormat="1">
      <alignment horizontal="center" vertical="center" wrapText="1"/>
    </xf>
    <xf numFmtId="0" fontId="0" fillId="0" borderId="23" xfId="0" applyFont="1" applyBorder="1">
      <alignment horizontal="center" vertical="center" wrapText="1"/>
    </xf>
    <xf numFmtId="0" fontId="22" fillId="40" borderId="14" xfId="0" applyFont="1" applyFill="1" applyBorder="1">
      <alignment horizontal="left" vertical="center" wrapText="1"/>
    </xf>
    <xf numFmtId="49" fontId="0" fillId="0" borderId="12" xfId="0" applyFont="1" applyBorder="1" applyNumberFormat="1">
      <alignment horizontal="center" vertical="center" wrapText="1"/>
    </xf>
    <xf numFmtId="49" fontId="44" fillId="54" borderId="0" xfId="0" applyFont="1" applyFill="1" applyNumberFormat="1">
      <alignment vertical="center" wrapText="1"/>
    </xf>
    <xf numFmtId="0" fontId="46" fillId="0" borderId="0" xfId="0" applyFont="1">
      <alignment vertical="top" wrapText="1"/>
    </xf>
    <xf numFmtId="49" fontId="31" fillId="0" borderId="0" xfId="0" applyFont="1" applyNumberFormat="1">
      <alignment horizontal="center" vertical="top" wrapText="1"/>
    </xf>
    <xf numFmtId="49" fontId="22" fillId="0" borderId="0" xfId="0" applyFont="1" applyNumberFormat="1">
      <alignment horizontal="center" vertical="top" wrapText="1"/>
    </xf>
    <xf numFmtId="49" fontId="22" fillId="35" borderId="0" xfId="0" applyFont="1" applyFill="1" applyNumberFormat="1">
      <alignment horizontal="center" vertical="top" wrapText="1"/>
    </xf>
    <xf numFmtId="0" fontId="0" fillId="0" borderId="36" xfId="0" applyFont="1" applyBorder="1">
      <alignment horizontal="center" vertical="center" wrapText="1"/>
    </xf>
    <xf numFmtId="0" fontId="22" fillId="0" borderId="13" xfId="0" applyFont="1" applyBorder="1">
      <alignment horizontal="center" vertical="center" wrapText="1"/>
    </xf>
    <xf numFmtId="0" fontId="22" fillId="0" borderId="13" xfId="0" applyFont="1" applyBorder="1">
      <alignment horizontal="center" vertical="center" wrapText="1"/>
    </xf>
    <xf numFmtId="0" fontId="22" fillId="0" borderId="12" xfId="0" applyFont="1" applyBorder="1">
      <alignment horizontal="center" vertical="center" wrapText="1"/>
    </xf>
    <xf numFmtId="0" fontId="22" fillId="0" borderId="17" xfId="0" applyFont="1" applyBorder="1">
      <alignment horizontal="center" vertical="center" wrapText="1"/>
    </xf>
    <xf numFmtId="0" fontId="22" fillId="0" borderId="12" xfId="0" applyFont="1" applyBorder="1">
      <alignment horizontal="left" vertical="center" wrapText="1"/>
    </xf>
    <xf numFmtId="0" fontId="22" fillId="0" borderId="12" xfId="0" applyFont="1" applyBorder="1">
      <alignment horizontal="center" vertical="center" wrapText="1"/>
    </xf>
    <xf numFmtId="0" fontId="46" fillId="0" borderId="0" xfId="0" applyFont="1">
      <alignment horizontal="center" vertical="center" wrapText="1"/>
    </xf>
    <xf numFmtId="0" fontId="46" fillId="0" borderId="12" xfId="0" applyFont="1" applyBorder="1">
      <alignment horizontal="center" vertical="center" wrapText="1"/>
    </xf>
    <xf numFmtId="0" fontId="22" fillId="39" borderId="12" xfId="0" applyFont="1" applyFill="1" applyBorder="1">
      <alignment horizontal="center" vertical="center" wrapText="1"/>
      <protection locked="0"/>
    </xf>
    <xf numFmtId="49" fontId="22" fillId="34" borderId="12" xfId="0" applyFont="1" applyFill="1" applyBorder="1" applyNumberFormat="1">
      <alignment horizontal="center" vertical="center" wrapText="1"/>
    </xf>
    <xf numFmtId="0" fontId="0" fillId="0" borderId="12" xfId="0" applyFont="1" applyBorder="1">
      <alignment horizontal="left" vertical="top" wrapText="1"/>
    </xf>
    <xf numFmtId="14" fontId="22" fillId="40" borderId="12" xfId="0" applyFont="1" applyFill="1" applyBorder="1" applyNumberFormat="1">
      <alignment horizontal="left" vertical="center" wrapText="1" indent="1"/>
    </xf>
    <xf numFmtId="49" fontId="124" fillId="0" borderId="12" xfId="0" applyFont="1" applyBorder="1" applyNumberFormat="1">
      <alignment horizontal="left" vertical="center" wrapText="1" indent="1"/>
    </xf>
    <xf numFmtId="0" fontId="22" fillId="0" borderId="14" xfId="0" applyFont="1" applyBorder="1">
      <alignment horizontal="center" vertical="center" wrapText="1"/>
    </xf>
    <xf numFmtId="49" fontId="22" fillId="0" borderId="12" xfId="0" applyFont="1" applyBorder="1" applyNumberFormat="1">
      <alignment horizontal="center" vertical="center" wrapText="1"/>
    </xf>
    <xf numFmtId="0" fontId="22" fillId="0" borderId="23" xfId="0" applyFont="1" applyBorder="1">
      <alignment horizontal="left" vertical="center" wrapText="1" indent="1"/>
    </xf>
    <xf numFmtId="0" fontId="22" fillId="34" borderId="12" xfId="0" applyFont="1" applyFill="1" applyBorder="1">
      <alignment horizontal="left" vertical="center" wrapText="1" indent="1"/>
    </xf>
    <xf numFmtId="0" fontId="47" fillId="0" borderId="0" xfId="0" applyFont="1">
      <alignment horizontal="center" vertical="center" wrapText="1"/>
    </xf>
    <xf numFmtId="202" fontId="22" fillId="0" borderId="23" xfId="0" applyFont="1" applyBorder="1" applyNumberFormat="1">
      <alignment horizontal="center" vertical="center" wrapText="1"/>
    </xf>
    <xf numFmtId="0" fontId="22" fillId="0" borderId="0" xfId="0" applyFont="1">
      <alignment horizontal="right" vertical="center" wrapText="1"/>
    </xf>
    <xf numFmtId="0" fontId="22" fillId="35" borderId="12" xfId="0" applyFont="1" applyFill="1" applyBorder="1">
      <alignment vertical="top" wrapText="1"/>
    </xf>
    <xf numFmtId="0" fontId="22" fillId="35" borderId="12" xfId="0" applyFont="1" applyFill="1" applyBorder="1">
      <alignment horizontal="left" vertical="top" wrapText="1"/>
    </xf>
    <xf numFmtId="49" fontId="53" fillId="36" borderId="23" xfId="0" applyFont="1" applyFill="1" applyBorder="1" applyNumberFormat="1">
      <alignment horizontal="left" vertical="center" wrapText="1"/>
      <protection locked="0"/>
    </xf>
    <xf numFmtId="49" fontId="0" fillId="37" borderId="29" xfId="0" applyFont="1" applyFill="1" applyBorder="1" applyNumberFormat="1">
      <alignment horizontal="right" vertical="center" wrapText="1"/>
    </xf>
    <xf numFmtId="0" fontId="22" fillId="0" borderId="0" xfId="0" applyFont="1">
      <alignment horizontal="left" vertical="center" wrapText="1"/>
    </xf>
    <xf numFmtId="0" fontId="0" fillId="48" borderId="0" xfId="0" applyFont="1" applyFill="1">
      <alignment horizontal="right" vertical="top" wrapText="1"/>
    </xf>
    <xf numFmtId="0" fontId="22" fillId="0" borderId="0" xfId="0" applyFont="1">
      <alignment horizontal="left" vertical="top" wrapText="1"/>
    </xf>
    <xf numFmtId="14" fontId="22" fillId="0" borderId="23" xfId="0" applyFont="1" applyBorder="1" applyNumberFormat="1">
      <alignment horizontal="left" vertical="center" wrapText="1" indent="1"/>
    </xf>
    <xf numFmtId="0" fontId="22" fillId="0" borderId="12" xfId="0" applyFont="1" applyBorder="1">
      <alignment horizontal="center" vertical="center" wrapText="1"/>
    </xf>
    <xf numFmtId="0" fontId="22" fillId="0" borderId="23" xfId="0" applyFont="1" applyBorder="1">
      <alignment horizontal="center" vertical="center" wrapText="1"/>
    </xf>
    <xf numFmtId="0" fontId="22" fillId="34" borderId="12" xfId="0" applyFont="1" applyFill="1" applyBorder="1">
      <alignment horizontal="left" vertical="center" wrapText="1" indent="1"/>
    </xf>
    <xf numFmtId="0" fontId="47" fillId="0" borderId="0" xfId="0" applyFont="1">
      <alignment horizontal="center" vertical="center" wrapText="1"/>
    </xf>
    <xf numFmtId="0" fontId="22" fillId="34" borderId="12" xfId="0" applyFont="1" applyFill="1" applyBorder="1">
      <alignment horizontal="left" vertical="center" wrapText="1"/>
    </xf>
    <xf numFmtId="202" fontId="22" fillId="0" borderId="12" xfId="0" applyFont="1" applyBorder="1" applyNumberFormat="1">
      <alignment horizontal="center" vertical="center" wrapText="1"/>
    </xf>
    <xf numFmtId="0" fontId="22" fillId="0" borderId="14" xfId="0" applyFont="1" applyBorder="1">
      <alignment horizontal="center" vertical="center" wrapText="1"/>
    </xf>
    <xf numFmtId="0" fontId="47" fillId="0" borderId="0" xfId="0" applyFont="1">
      <alignment horizontal="center" vertical="center" wrapText="1"/>
    </xf>
    <xf numFmtId="49" fontId="22" fillId="39" borderId="12" xfId="0" applyFont="1" applyFill="1" applyBorder="1" applyNumberFormat="1">
      <alignment horizontal="left" vertical="center" wrapText="1"/>
      <protection locked="0"/>
    </xf>
    <xf numFmtId="0" fontId="22" fillId="35" borderId="36" xfId="0" applyFont="1" applyFill="1" applyBorder="1">
      <alignment vertical="center" wrapText="1"/>
    </xf>
    <xf numFmtId="202" fontId="44" fillId="0" borderId="19" xfId="0" applyFont="1" applyBorder="1" applyNumberFormat="1">
      <alignment horizontal="center" vertical="center" wrapText="1"/>
    </xf>
    <xf numFmtId="202" fontId="44" fillId="0" borderId="20" xfId="0" applyFont="1" applyBorder="1" applyNumberFormat="1">
      <alignment horizontal="center" vertical="center" wrapText="1"/>
    </xf>
    <xf numFmtId="203" fontId="22" fillId="39" borderId="12" xfId="0" applyFont="1" applyFill="1" applyBorder="1" applyNumberFormat="1">
      <alignment horizontal="left" vertical="center" wrapText="1" indent="1"/>
      <protection locked="0"/>
    </xf>
    <xf numFmtId="201" fontId="0" fillId="39" borderId="15" xfId="0" applyFont="1" applyFill="1" applyBorder="1" applyNumberFormat="1">
      <alignment horizontal="left" vertical="center" wrapText="1" indent="1"/>
      <protection locked="0"/>
    </xf>
    <xf numFmtId="49" fontId="22" fillId="39" borderId="27" xfId="0" applyFont="1" applyFill="1" applyBorder="1" applyNumberFormat="1">
      <alignment horizontal="left" vertical="center" wrapText="1"/>
      <protection locked="0"/>
    </xf>
    <xf numFmtId="49" fontId="22" fillId="39" borderId="30" xfId="0" applyFont="1" applyFill="1" applyBorder="1" applyNumberFormat="1">
      <alignment horizontal="left" vertical="center" wrapText="1"/>
      <protection locked="0"/>
    </xf>
    <xf numFmtId="49" fontId="53" fillId="37" borderId="29" xfId="0" applyFont="1" applyFill="1" applyBorder="1" applyNumberFormat="1">
      <alignment horizontal="left" vertical="center" wrapText="1"/>
    </xf>
    <xf numFmtId="0" fontId="22" fillId="39" borderId="12" xfId="0" applyFont="1" applyFill="1" applyBorder="1">
      <alignment horizontal="left" vertical="top" wrapText="1" indent="1"/>
      <protection locked="0"/>
    </xf>
    <xf numFmtId="0" fontId="22" fillId="0" borderId="15" xfId="0" applyFont="1" applyBorder="1">
      <alignment horizontal="center" vertical="center" wrapText="1"/>
    </xf>
    <xf numFmtId="0" fontId="47" fillId="0" borderId="0" xfId="0" applyFont="1">
      <alignment horizontal="center" vertical="center" wrapText="1"/>
    </xf>
    <xf numFmtId="0" fontId="22" fillId="35" borderId="22" xfId="0" applyFont="1" applyFill="1" applyBorder="1">
      <alignment vertical="center" wrapText="1"/>
    </xf>
    <xf numFmtId="0" fontId="35" fillId="0" borderId="0" xfId="61" applyFont="1" applyNumberFormat="1">
      <alignment horizontal="center" vertical="center" wrapText="1"/>
    </xf>
    <xf numFmtId="0" fontId="35" fillId="0" borderId="0" xfId="61" applyFont="1" applyNumberFormat="1">
      <alignment horizontal="center" vertical="center" wrapText="1"/>
    </xf>
    <xf numFmtId="0" fontId="35" fillId="0" borderId="0" xfId="61" applyFont="1" applyNumberFormat="1">
      <alignment horizontal="center" vertical="center" wrapText="1"/>
    </xf>
    <xf numFmtId="0" fontId="35" fillId="0" borderId="0" xfId="61" applyFont="1" applyNumberFormat="1">
      <alignment horizontal="center" vertical="center" wrapText="1"/>
    </xf>
    <xf numFmtId="0" fontId="35" fillId="0" borderId="12" xfId="61" applyFont="1" applyBorder="1" applyNumberFormat="1">
      <alignment horizontal="center" vertical="center" wrapText="1"/>
    </xf>
    <xf numFmtId="0" fontId="22" fillId="0" borderId="12" xfId="0" applyFont="1" applyBorder="1">
      <alignment horizontal="left" vertical="top" wrapText="1"/>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0" fontId="39" fillId="0" borderId="0" xfId="0" applyFont="1">
      <alignment horizontal="left" vertical="center"/>
    </xf>
    <xf numFmtId="0" fontId="39" fillId="0" borderId="24" xfId="0" applyFont="1" applyBorder="1">
      <alignment horizontal="left" vertical="center"/>
    </xf>
    <xf numFmtId="0" fontId="39" fillId="0" borderId="27" xfId="0" applyFont="1" applyBorder="1">
      <alignment horizontal="left" vertical="center"/>
    </xf>
    <xf numFmtId="0" fontId="39" fillId="0" borderId="29" xfId="0" applyFont="1" applyBorder="1">
      <alignment horizontal="left" vertical="center"/>
    </xf>
    <xf numFmtId="0" fontId="0" fillId="0" borderId="12" xfId="0" applyFont="1" applyBorder="1">
      <alignment horizontal="center" vertical="center" wrapText="1"/>
    </xf>
    <xf numFmtId="0" fontId="22" fillId="0" borderId="0" xfId="0" applyFont="1">
      <alignment horizontal="center" vertical="center" wrapText="1"/>
    </xf>
    <xf numFmtId="0" fontId="22" fillId="0" borderId="0" xfId="0" applyFont="1">
      <alignment horizontal="center" vertical="center" wrapText="1"/>
    </xf>
    <xf numFmtId="0" fontId="22" fillId="0" borderId="12" xfId="0" applyFont="1" applyBorder="1">
      <alignment horizontal="center" vertical="center" wrapText="1"/>
    </xf>
    <xf numFmtId="49" fontId="22" fillId="40" borderId="12" xfId="0" applyFont="1" applyFill="1" applyBorder="1" applyNumberFormat="1">
      <alignment horizontal="center" vertical="center" wrapText="1"/>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0" fontId="39" fillId="0" borderId="27" xfId="0" applyFont="1" applyBorder="1">
      <alignment horizontal="left" vertical="center"/>
    </xf>
    <xf numFmtId="0" fontId="39" fillId="0" borderId="29" xfId="0" applyFont="1" applyBorder="1">
      <alignment horizontal="left" vertical="center"/>
    </xf>
    <xf numFmtId="0" fontId="39" fillId="0" borderId="0" xfId="0" applyFont="1">
      <alignment horizontal="left" vertical="center"/>
    </xf>
    <xf numFmtId="0" fontId="39" fillId="0" borderId="24" xfId="0" applyFont="1" applyBorder="1">
      <alignment horizontal="left" vertical="center"/>
    </xf>
    <xf numFmtId="0" fontId="22" fillId="35" borderId="12" xfId="0" applyFont="1" applyFill="1" applyBorder="1">
      <alignment horizontal="center" vertical="center" wrapText="1"/>
    </xf>
    <xf numFmtId="0" fontId="46" fillId="0" borderId="0" xfId="0" applyFont="1">
      <alignment horizontal="center" vertical="center" wrapText="1"/>
    </xf>
    <xf numFmtId="0" fontId="22" fillId="34" borderId="15" xfId="0" applyFont="1" applyFill="1" applyBorder="1">
      <alignment horizontal="left" vertical="center" wrapText="1"/>
    </xf>
    <xf numFmtId="0" fontId="22" fillId="0" borderId="0" xfId="0" applyFont="1">
      <alignment horizontal="left" vertical="top" wrapText="1"/>
    </xf>
    <xf numFmtId="0" fontId="47" fillId="0" borderId="0" xfId="0" applyFont="1">
      <alignment horizontal="center" vertical="center" wrapText="1"/>
    </xf>
    <xf numFmtId="201" fontId="0" fillId="39" borderId="12" xfId="0" applyFont="1" applyFill="1" applyBorder="1" applyNumberFormat="1">
      <alignment horizontal="center" vertical="center" wrapText="1"/>
      <protection locked="0"/>
    </xf>
    <xf numFmtId="0" fontId="80" fillId="35" borderId="19" xfId="0" applyFont="1" applyFill="1" applyBorder="1">
      <alignment horizontal="center" vertical="center" wrapText="1"/>
    </xf>
    <xf numFmtId="0" fontId="36" fillId="0" borderId="27" xfId="0" applyFont="1" applyBorder="1">
      <alignment horizontal="center" vertical="center" wrapText="1"/>
    </xf>
    <xf numFmtId="0" fontId="22" fillId="35" borderId="12" xfId="0" applyFont="1" applyFill="1" applyBorder="1">
      <alignment horizontal="left" vertical="center" wrapText="1"/>
    </xf>
    <xf numFmtId="0" fontId="22" fillId="35" borderId="23" xfId="0" applyFont="1" applyFill="1" applyBorder="1">
      <alignment horizontal="center" vertical="center" wrapText="1"/>
    </xf>
    <xf numFmtId="0" fontId="47" fillId="0" borderId="15" xfId="0" applyFont="1" applyBorder="1">
      <alignment horizontal="left" vertical="center" wrapText="1"/>
    </xf>
    <xf numFmtId="49" fontId="22" fillId="39" borderId="17" xfId="0" applyFont="1" applyFill="1" applyBorder="1" applyNumberFormat="1">
      <alignment horizontal="left" vertical="center" wrapText="1" indent="6"/>
      <protection locked="0"/>
    </xf>
    <xf numFmtId="0" fontId="22" fillId="35" borderId="17" xfId="0" applyFont="1" applyFill="1" applyBorder="1">
      <alignment horizontal="left" vertical="center" wrapText="1"/>
    </xf>
    <xf numFmtId="4" fontId="22" fillId="39" borderId="12" xfId="0" applyFont="1" applyFill="1" applyBorder="1" applyNumberFormat="1">
      <alignment horizontal="left" vertical="center" wrapText="1" indent="1"/>
      <protection locked="0"/>
    </xf>
    <xf numFmtId="49" fontId="22" fillId="36" borderId="17" xfId="0" applyFont="1" applyFill="1" applyBorder="1" applyNumberFormat="1">
      <alignment horizontal="left" vertical="center" wrapText="1" indent="6"/>
      <protection locked="0"/>
    </xf>
    <xf numFmtId="49" fontId="22" fillId="0" borderId="0" xfId="0" applyFont="1" applyNumberFormat="1">
      <alignment vertical="center" wrapText="1"/>
    </xf>
    <xf numFmtId="49" fontId="47" fillId="0" borderId="12" xfId="0" applyFont="1" applyBorder="1" applyNumberFormat="1">
      <alignment horizontal="center" vertical="center" wrapText="1"/>
    </xf>
    <xf numFmtId="49" fontId="22" fillId="0" borderId="12" xfId="0" applyFont="1" applyBorder="1" applyNumberFormat="1">
      <alignment horizontal="left" vertical="center" wrapText="1"/>
    </xf>
    <xf numFmtId="0" fontId="22" fillId="35" borderId="29" xfId="0" applyFont="1" applyFill="1" applyBorder="1">
      <alignment horizontal="center" vertical="center" wrapText="1"/>
    </xf>
    <xf numFmtId="0" fontId="46" fillId="0" borderId="0" xfId="0" applyFont="1">
      <alignment horizontal="center" vertical="center" wrapText="1"/>
    </xf>
    <xf numFmtId="0" fontId="22" fillId="0" borderId="0" xfId="0" applyFont="1">
      <alignment horizontal="right" vertical="center" wrapText="1"/>
    </xf>
    <xf numFmtId="0" fontId="22" fillId="0" borderId="0" xfId="0" applyFont="1">
      <alignment horizontal="left" vertical="center"/>
    </xf>
    <xf numFmtId="49" fontId="22" fillId="0" borderId="0" xfId="0" applyFont="1" applyNumberFormat="1">
      <alignment horizontal="left" vertical="center"/>
    </xf>
    <xf numFmtId="0" fontId="22" fillId="0" borderId="0" xfId="0" applyFont="1">
      <alignment horizontal="left" vertical="center"/>
    </xf>
    <xf numFmtId="0" fontId="22" fillId="0" borderId="0" xfId="0" applyFont="1">
      <alignment horizontal="left" vertical="center" indent="1"/>
    </xf>
    <xf numFmtId="49" fontId="22" fillId="0" borderId="0" xfId="0" applyFont="1" applyNumberFormat="1">
      <alignment horizontal="left" vertical="center"/>
    </xf>
    <xf numFmtId="0" fontId="0" fillId="0" borderId="12" xfId="0" applyFont="1" applyBorder="1">
      <alignment horizontal="center" vertical="center" wrapText="1"/>
    </xf>
    <xf numFmtId="49" fontId="0" fillId="39" borderId="12" xfId="0" applyFont="1" applyFill="1" applyBorder="1" applyNumberFormat="1">
      <alignment horizontal="left" vertical="center" wrapText="1"/>
      <protection locked="0"/>
    </xf>
    <xf numFmtId="49" fontId="22" fillId="35" borderId="0" xfId="0" applyFont="1" applyFill="1" applyNumberFormat="1">
      <alignment vertical="center" wrapText="1"/>
    </xf>
    <xf numFmtId="0" fontId="80" fillId="35" borderId="19" xfId="0" applyFont="1" applyFill="1" applyBorder="1">
      <alignment horizontal="center" vertical="center" wrapText="1"/>
    </xf>
    <xf numFmtId="0" fontId="46" fillId="0" borderId="0" xfId="0" applyFont="1">
      <alignment horizontal="center" vertical="center" wrapText="1"/>
    </xf>
    <xf numFmtId="49" fontId="22" fillId="0" borderId="0" xfId="0" applyFont="1" applyNumberFormat="1">
      <alignment vertical="center" wrapText="1"/>
    </xf>
    <xf numFmtId="49" fontId="22" fillId="36" borderId="12" xfId="0" applyFont="1" applyFill="1" applyBorder="1" applyNumberFormat="1">
      <alignment horizontal="left" vertical="center" indent="1"/>
      <protection locked="0"/>
    </xf>
    <xf numFmtId="49" fontId="22" fillId="35" borderId="12" xfId="59" applyFont="1" applyFill="1" applyBorder="1" applyNumberFormat="1">
      <alignment horizontal="center" vertical="center" wrapText="1"/>
    </xf>
    <xf numFmtId="14" fontId="22" fillId="39" borderId="14" xfId="0" applyFont="1" applyFill="1" applyBorder="1" applyNumberFormat="1">
      <alignment horizontal="left" vertical="center" wrapText="1" indent="1"/>
      <protection locked="0"/>
    </xf>
    <xf numFmtId="0" fontId="46" fillId="0" borderId="36" xfId="0" applyFont="1" applyBorder="1">
      <alignment horizontal="left" vertical="center" wrapText="1" indent="1"/>
    </xf>
    <xf numFmtId="49" fontId="105" fillId="37" borderId="42" xfId="0" applyFont="1" applyFill="1" applyBorder="1" applyNumberFormat="1">
      <alignment horizontal="left" vertical="center" indent="1"/>
    </xf>
    <xf numFmtId="14" fontId="22" fillId="40" borderId="22" xfId="0" applyFont="1" applyFill="1" applyBorder="1" applyNumberFormat="1">
      <alignment horizontal="left" vertical="center" wrapText="1" indent="1"/>
    </xf>
    <xf numFmtId="0" fontId="22" fillId="0" borderId="22" xfId="0" applyFont="1" applyBorder="1">
      <alignment vertical="center" wrapText="1"/>
    </xf>
    <xf numFmtId="0" fontId="0" fillId="0" borderId="13" xfId="0" applyFont="1" applyBorder="1">
      <alignment horizontal="center" vertical="center" wrapText="1"/>
    </xf>
    <xf numFmtId="49" fontId="22" fillId="40" borderId="12" xfId="0" applyFont="1" applyFill="1" applyBorder="1" applyNumberFormat="1">
      <alignment horizontal="center" vertical="center" wrapText="1"/>
    </xf>
    <xf numFmtId="0" fontId="22" fillId="0" borderId="12" xfId="0" applyFont="1" applyBorder="1">
      <alignment horizontal="center" vertical="center" wrapText="1"/>
    </xf>
    <xf numFmtId="201" fontId="0" fillId="39" borderId="12" xfId="0" applyFont="1" applyFill="1" applyBorder="1" applyNumberFormat="1">
      <alignment horizontal="center" vertical="center" wrapText="1"/>
      <protection locked="0"/>
    </xf>
    <xf numFmtId="0" fontId="22" fillId="35" borderId="17" xfId="0" applyFont="1" applyFill="1" applyBorder="1">
      <alignment horizontal="left" vertical="center" wrapText="1"/>
    </xf>
    <xf numFmtId="49" fontId="22" fillId="39" borderId="17" xfId="0" applyFont="1" applyFill="1" applyBorder="1" applyNumberFormat="1">
      <alignment horizontal="left" vertical="center" wrapText="1" indent="6"/>
      <protection locked="0"/>
    </xf>
    <xf numFmtId="0" fontId="47" fillId="0" borderId="24" xfId="0" applyFont="1" applyBorder="1">
      <alignment horizontal="center" vertical="top" wrapText="1"/>
    </xf>
    <xf numFmtId="49" fontId="22" fillId="36" borderId="17" xfId="0" applyFont="1" applyFill="1" applyBorder="1" applyNumberFormat="1">
      <alignment horizontal="left" vertical="center" wrapText="1" indent="6"/>
      <protection locked="0"/>
    </xf>
    <xf numFmtId="4" fontId="22" fillId="39" borderId="12" xfId="0" applyFont="1" applyFill="1" applyBorder="1" applyNumberFormat="1">
      <alignment horizontal="left" vertical="center" wrapText="1" indent="1"/>
      <protection locked="0"/>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0" fontId="39" fillId="0" borderId="27" xfId="0" applyFont="1" applyBorder="1">
      <alignment horizontal="left" vertical="center"/>
    </xf>
    <xf numFmtId="0" fontId="39" fillId="0" borderId="29" xfId="0" applyFont="1" applyBorder="1">
      <alignment horizontal="left" vertical="center"/>
    </xf>
    <xf numFmtId="0" fontId="39" fillId="0" borderId="0" xfId="0" applyFont="1">
      <alignment horizontal="left" vertical="center"/>
    </xf>
    <xf numFmtId="0" fontId="39" fillId="0" borderId="24" xfId="0" applyFont="1" applyBorder="1">
      <alignment horizontal="left" vertical="center"/>
    </xf>
    <xf numFmtId="49" fontId="31" fillId="47" borderId="0" xfId="0" applyFont="1" applyFill="1" applyNumberFormat="1">
      <alignment horizontal="center" vertical="center" wrapText="1"/>
    </xf>
    <xf numFmtId="0" fontId="47" fillId="0" borderId="0" xfId="0" applyFont="1">
      <alignment horizontal="center" vertical="center" wrapText="1"/>
    </xf>
    <xf numFmtId="0" fontId="22" fillId="35" borderId="12" xfId="0" applyFont="1" applyFill="1" applyBorder="1">
      <alignment horizontal="left" vertical="center" wrapText="1"/>
    </xf>
    <xf numFmtId="0" fontId="22" fillId="35" borderId="17" xfId="0" applyFont="1" applyFill="1" applyBorder="1">
      <alignment horizontal="left" vertical="center" wrapText="1"/>
    </xf>
    <xf numFmtId="0" fontId="22" fillId="35" borderId="23" xfId="0" applyFont="1" applyFill="1" applyBorder="1">
      <alignment horizontal="left" vertical="center" wrapText="1"/>
    </xf>
    <xf numFmtId="0" fontId="44" fillId="0" borderId="13" xfId="0" applyFont="1" applyBorder="1">
      <alignment vertical="top" wrapText="1"/>
    </xf>
    <xf numFmtId="0" fontId="47" fillId="0" borderId="13" xfId="0" applyFont="1" applyBorder="1">
      <alignment vertical="top" wrapText="1"/>
    </xf>
    <xf numFmtId="0" fontId="22" fillId="35" borderId="17" xfId="0" applyFont="1" applyFill="1" applyBorder="1">
      <alignment horizontal="left" vertical="center" wrapText="1" indent="2"/>
    </xf>
    <xf numFmtId="0" fontId="22" fillId="0" borderId="17" xfId="0" applyFont="1" applyBorder="1">
      <alignment horizontal="left" vertical="center" wrapText="1" indent="6"/>
    </xf>
    <xf numFmtId="0" fontId="22" fillId="40" borderId="23" xfId="0" applyFont="1" applyFill="1" applyBorder="1">
      <alignment horizontal="left" vertical="center" wrapText="1" indent="6"/>
    </xf>
    <xf numFmtId="0" fontId="22" fillId="0" borderId="23" xfId="0" applyFont="1" applyBorder="1">
      <alignment horizontal="left" vertical="center" wrapText="1" indent="6"/>
    </xf>
    <xf numFmtId="4" fontId="22" fillId="36" borderId="23" xfId="0" applyFont="1" applyFill="1" applyBorder="1" applyNumberFormat="1">
      <alignment horizontal="right" vertical="center" wrapText="1"/>
      <protection locked="0"/>
    </xf>
    <xf numFmtId="199" fontId="22" fillId="36" borderId="23" xfId="0" applyFont="1" applyFill="1" applyBorder="1" applyNumberFormat="1">
      <alignment horizontal="right" vertical="center" wrapText="1"/>
      <protection locked="0"/>
    </xf>
    <xf numFmtId="0" fontId="22" fillId="0" borderId="15" xfId="0" applyFont="1" applyBorder="1">
      <alignment horizontal="center" vertical="center" wrapText="1"/>
    </xf>
    <xf numFmtId="0" fontId="22" fillId="0" borderId="13" xfId="0" applyFont="1" applyBorder="1">
      <alignment horizontal="center" vertical="center" wrapText="1"/>
    </xf>
    <xf numFmtId="0" fontId="22" fillId="0" borderId="12" xfId="0" applyFont="1" applyBorder="1">
      <alignment horizontal="center" vertical="center" wrapText="1"/>
    </xf>
    <xf numFmtId="49" fontId="22" fillId="0" borderId="0" xfId="0" applyFont="1" applyNumberFormat="1">
      <alignment horizontal="center" vertical="center" wrapText="1"/>
    </xf>
    <xf numFmtId="0" fontId="22" fillId="0" borderId="12" xfId="0" applyFont="1" applyBorder="1">
      <alignment horizontal="left" vertical="center" wrapText="1"/>
    </xf>
    <xf numFmtId="0" fontId="22" fillId="0" borderId="37" xfId="0" applyFont="1" applyBorder="1">
      <alignment horizontal="center" vertical="center" wrapText="1"/>
    </xf>
    <xf numFmtId="49" fontId="0" fillId="35" borderId="12" xfId="0" applyFont="1" applyFill="1" applyBorder="1" applyNumberFormat="1">
      <alignment horizontal="center" vertical="center" wrapText="1"/>
    </xf>
    <xf numFmtId="0" fontId="22" fillId="35" borderId="12" xfId="0" applyFont="1" applyFill="1" applyBorder="1">
      <alignment horizontal="center" vertical="center" wrapText="1"/>
    </xf>
    <xf numFmtId="0" fontId="0" fillId="0" borderId="12" xfId="0" applyFont="1" applyBorder="1">
      <alignment horizontal="center" vertical="center" wrapText="1"/>
    </xf>
    <xf numFmtId="0" fontId="22" fillId="0" borderId="15" xfId="0" applyFont="1" applyBorder="1">
      <alignment horizontal="right" vertical="center" wrapText="1" indent="1"/>
    </xf>
    <xf numFmtId="0" fontId="22" fillId="0" borderId="0" xfId="0" applyFont="1">
      <alignment horizontal="left" vertical="top" wrapText="1"/>
    </xf>
    <xf numFmtId="0" fontId="22" fillId="34" borderId="14" xfId="0" applyFont="1" applyFill="1" applyBorder="1">
      <alignment horizontal="left" vertical="top" wrapText="1"/>
    </xf>
    <xf numFmtId="49" fontId="22" fillId="0" borderId="0" xfId="0" applyFont="1" applyNumberFormat="1">
      <alignment vertical="center" wrapText="1"/>
    </xf>
    <xf numFmtId="0" fontId="0" fillId="0" borderId="12" xfId="0" applyFont="1" applyBorder="1">
      <alignment horizontal="left" vertical="center" wrapText="1"/>
    </xf>
    <xf numFmtId="49" fontId="22" fillId="0" borderId="12" xfId="0" applyFont="1" applyBorder="1" applyNumberFormat="1">
      <alignment horizontal="center" vertical="center" wrapText="1"/>
    </xf>
    <xf numFmtId="0" fontId="22" fillId="0" borderId="12" xfId="0" applyFont="1" applyBorder="1">
      <alignment horizontal="left" vertical="center" wrapText="1"/>
    </xf>
    <xf numFmtId="0" fontId="22" fillId="0" borderId="17" xfId="0" applyFont="1" applyBorder="1">
      <alignment horizontal="left" vertical="center" wrapText="1"/>
    </xf>
    <xf numFmtId="49" fontId="94" fillId="0" borderId="43" xfId="0" applyFont="1" applyBorder="1" applyNumberFormat="1">
      <alignment horizontal="center" vertical="center"/>
    </xf>
    <xf numFmtId="49" fontId="94" fillId="0" borderId="43" xfId="0" applyFont="1" applyBorder="1" applyNumberFormat="1">
      <alignment horizontal="left" vertical="center" indent="1"/>
    </xf>
    <xf numFmtId="49" fontId="94" fillId="0" borderId="14" xfId="0" applyFont="1" applyBorder="1" applyNumberFormat="1">
      <alignment horizontal="left" vertical="center" indent="1"/>
    </xf>
    <xf numFmtId="49" fontId="94" fillId="0" borderId="15" xfId="0" applyFont="1" applyBorder="1" applyNumberFormat="1">
      <alignment horizontal="left" vertical="center" indent="1"/>
    </xf>
    <xf numFmtId="49" fontId="94" fillId="0" borderId="15" xfId="0" applyFont="1" applyBorder="1" applyNumberFormat="1">
      <alignment vertical="top" wrapText="1"/>
    </xf>
    <xf numFmtId="49" fontId="94" fillId="0" borderId="13" xfId="0" applyFont="1" applyBorder="1" applyNumberFormat="1">
      <alignment vertical="top" wrapText="1"/>
    </xf>
    <xf numFmtId="49" fontId="125" fillId="0" borderId="0" xfId="0" applyFont="1" applyNumberFormat="1">
      <alignment horizontal="center" vertical="top" wrapText="1"/>
    </xf>
    <xf numFmtId="0" fontId="94" fillId="0" borderId="12" xfId="0" applyFont="1" applyBorder="1">
      <alignment horizontal="center" vertical="center"/>
    </xf>
    <xf numFmtId="0" fontId="94" fillId="0" borderId="12" xfId="0" applyFont="1" applyBorder="1">
      <alignment horizontal="left" vertical="center" wrapText="1" indent="1"/>
    </xf>
    <xf numFmtId="4" fontId="46" fillId="0" borderId="31" xfId="0" applyFont="1" applyBorder="1" applyNumberFormat="1">
      <alignment horizontal="right" vertical="center" wrapText="1"/>
    </xf>
    <xf numFmtId="49" fontId="46" fillId="0" borderId="15" xfId="0" applyFont="1" applyBorder="1" applyNumberFormat="1">
      <alignment horizontal="left" vertical="center" indent="1"/>
    </xf>
    <xf numFmtId="49" fontId="94" fillId="0" borderId="52" xfId="0" applyFont="1" applyBorder="1" applyNumberFormat="1">
      <alignment vertical="top" wrapText="1"/>
    </xf>
    <xf numFmtId="49" fontId="94" fillId="0" borderId="52" xfId="0" applyFont="1" applyBorder="1" applyNumberFormat="1">
      <alignment horizontal="left" vertical="center" indent="1"/>
    </xf>
    <xf numFmtId="49" fontId="0" fillId="40" borderId="36" xfId="0" applyFont="1" applyFill="1" applyBorder="1" applyNumberFormat="1">
      <alignment horizontal="left" vertical="center" wrapText="1"/>
    </xf>
    <xf numFmtId="49" fontId="22" fillId="0" borderId="12" xfId="0" applyFont="1" applyBorder="1" applyNumberFormat="1">
      <alignment horizontal="center" vertical="center" wrapText="1"/>
    </xf>
    <xf numFmtId="49" fontId="126" fillId="0" borderId="12" xfId="0" applyFont="1" applyBorder="1" applyNumberFormat="1">
      <alignment horizontal="center" vertical="center" wrapText="1"/>
    </xf>
    <xf numFmtId="49" fontId="126" fillId="0" borderId="17" xfId="0" applyFont="1" applyBorder="1" applyNumberFormat="1">
      <alignment horizontal="center" vertical="center" wrapText="1"/>
    </xf>
    <xf numFmtId="0" fontId="22" fillId="54" borderId="12" xfId="60" applyFont="1" applyFill="1" applyBorder="1">
      <alignment vertical="center"/>
    </xf>
    <xf numFmtId="0" fontId="46" fillId="55" borderId="12" xfId="0" applyFont="1" applyFill="1" applyBorder="1">
      <alignment horizontal="left" vertical="center" wrapText="1"/>
    </xf>
    <xf numFmtId="0" fontId="91" fillId="0" borderId="0" xfId="0" applyFont="1">
      <alignment horizontal="center" vertical="center" wrapText="1"/>
    </xf>
    <xf numFmtId="49" fontId="22" fillId="0" borderId="0" xfId="0" applyFont="1" applyNumberFormat="1">
      <alignment vertical="center" wrapText="1"/>
    </xf>
    <xf numFmtId="49" fontId="0" fillId="7" borderId="12" xfId="0" applyFont="1" applyFill="1" applyBorder="1" applyNumberFormat="1">
      <alignment horizontal="center" vertical="center" wrapText="1"/>
    </xf>
    <xf numFmtId="49" fontId="22" fillId="0" borderId="0" xfId="0" applyFont="1" applyNumberFormat="1">
      <alignment vertical="center" wrapText="1"/>
    </xf>
    <xf numFmtId="49" fontId="0" fillId="7" borderId="12" xfId="0" applyFont="1" applyFill="1" applyBorder="1" applyNumberFormat="1">
      <alignment horizontal="center" vertical="center" wrapText="1"/>
    </xf>
    <xf numFmtId="49" fontId="35" fillId="0" borderId="0" xfId="0" applyFont="1" applyNumberFormat="1">
      <alignment horizontal="center" vertical="center" wrapText="1"/>
    </xf>
    <xf numFmtId="0" fontId="22" fillId="0" borderId="14" xfId="0" applyFont="1" applyBorder="1">
      <alignment horizontal="center" vertical="center" wrapText="1"/>
    </xf>
    <xf numFmtId="0" fontId="22" fillId="0" borderId="12" xfId="0" applyFont="1" applyBorder="1">
      <alignment horizontal="center" vertical="center" wrapText="1"/>
    </xf>
    <xf numFmtId="0" fontId="22" fillId="0" borderId="17" xfId="0" applyFont="1" applyBorder="1">
      <alignment horizontal="center" vertical="center" wrapText="1"/>
    </xf>
    <xf numFmtId="0" fontId="22" fillId="0" borderId="17" xfId="0" applyFont="1" applyBorder="1">
      <alignment horizontal="left" vertical="center" wrapText="1"/>
    </xf>
    <xf numFmtId="0" fontId="0" fillId="0" borderId="14" xfId="0" applyFont="1" applyBorder="1">
      <alignment horizontal="center" vertical="center" wrapText="1"/>
    </xf>
    <xf numFmtId="0" fontId="0" fillId="0" borderId="12" xfId="0" applyFont="1" applyBorder="1">
      <alignment horizontal="center" vertical="center" wrapText="1"/>
    </xf>
    <xf numFmtId="49" fontId="22" fillId="40" borderId="12" xfId="0" applyFont="1" applyFill="1" applyBorder="1" applyNumberFormat="1">
      <alignment horizontal="left" vertical="center" wrapText="1" indent="1"/>
    </xf>
    <xf numFmtId="0" fontId="22" fillId="0" borderId="19" xfId="0" applyFont="1" applyBorder="1">
      <alignment horizontal="right" vertical="center" wrapText="1" indent="1"/>
    </xf>
    <xf numFmtId="4" fontId="22" fillId="39" borderId="37" xfId="0" applyFont="1" applyFill="1" applyBorder="1" applyNumberFormat="1">
      <alignment horizontal="right" vertical="center" wrapText="1"/>
      <protection locked="0"/>
    </xf>
    <xf numFmtId="3" fontId="22" fillId="39" borderId="14" xfId="0" applyFont="1" applyFill="1" applyBorder="1" applyNumberFormat="1">
      <alignment horizontal="right" vertical="center" wrapText="1"/>
      <protection locked="0"/>
    </xf>
    <xf numFmtId="0" fontId="46" fillId="37" borderId="15" xfId="0" applyFont="1" applyFill="1" applyBorder="1">
      <alignment vertical="center" wrapText="1"/>
    </xf>
    <xf numFmtId="0" fontId="22" fillId="0" borderId="12" xfId="0" applyFont="1" applyBorder="1">
      <alignment horizontal="center" vertical="center" wrapText="1"/>
    </xf>
    <xf numFmtId="0" fontId="22" fillId="0" borderId="17" xfId="0" applyFont="1" applyBorder="1">
      <alignment horizontal="center" vertical="center" wrapText="1"/>
    </xf>
    <xf numFmtId="0" fontId="22" fillId="0" borderId="14" xfId="0" applyFont="1" applyBorder="1">
      <alignment horizontal="left" vertical="center" wrapText="1"/>
    </xf>
    <xf numFmtId="0" fontId="22" fillId="0" borderId="23" xfId="0" applyFont="1" applyBorder="1">
      <alignment horizontal="center" vertical="center" wrapText="1"/>
    </xf>
    <xf numFmtId="0" fontId="22" fillId="0" borderId="14" xfId="0" applyFont="1" applyBorder="1">
      <alignment horizontal="left" vertical="center" wrapText="1" indent="1"/>
    </xf>
    <xf numFmtId="0" fontId="22" fillId="0" borderId="14" xfId="0" applyFont="1" applyBorder="1">
      <alignment horizontal="left" vertical="center" wrapText="1" indent="2"/>
    </xf>
    <xf numFmtId="0" fontId="102" fillId="0" borderId="0" xfId="0" applyFont="1">
      <alignment vertical="center" wrapText="1"/>
    </xf>
    <xf numFmtId="0" fontId="102" fillId="0" borderId="0" xfId="0" applyFont="1">
      <alignment vertical="center"/>
    </xf>
    <xf numFmtId="0" fontId="45" fillId="56" borderId="63" xfId="0" applyFont="1" applyFill="1" applyBorder="1">
      <alignment horizontal="center" vertical="center" wrapText="1"/>
    </xf>
    <xf numFmtId="0" fontId="45" fillId="56" borderId="64" xfId="0" applyFont="1" applyFill="1" applyBorder="1">
      <alignment horizontal="center" vertical="center" wrapText="1"/>
    </xf>
    <xf numFmtId="0" fontId="45" fillId="56" borderId="65" xfId="0" applyFont="1" applyFill="1" applyBorder="1">
      <alignment horizontal="center" vertical="center" wrapText="1"/>
    </xf>
    <xf numFmtId="0" fontId="45" fillId="46" borderId="38" xfId="0" applyFont="1" applyFill="1" applyBorder="1">
      <alignment horizontal="right" vertical="center" wrapText="1" indent="1"/>
    </xf>
    <xf numFmtId="0" fontId="45" fillId="46" borderId="66" xfId="0" applyFont="1" applyFill="1" applyBorder="1">
      <alignment horizontal="right" vertical="center" wrapText="1" indent="1"/>
    </xf>
    <xf numFmtId="0" fontId="45" fillId="46" borderId="0" xfId="0" applyFont="1" applyFill="1">
      <alignment horizontal="right" vertical="center" wrapText="1" indent="1"/>
    </xf>
    <xf numFmtId="0" fontId="120" fillId="0" borderId="38" xfId="0" applyFont="1" applyBorder="1">
      <alignment vertical="center" wrapText="1"/>
    </xf>
    <xf numFmtId="0" fontId="120" fillId="0" borderId="0" xfId="0" applyFont="1">
      <alignment vertical="center" wrapText="1"/>
    </xf>
    <xf numFmtId="0" fontId="120" fillId="0" borderId="38" xfId="0" applyFont="1" applyBorder="1">
      <alignment horizontal="left" vertical="center" wrapText="1"/>
    </xf>
    <xf numFmtId="0" fontId="120" fillId="0" borderId="0" xfId="0" applyFont="1">
      <alignment horizontal="left" vertical="center" wrapText="1"/>
    </xf>
    <xf numFmtId="0" fontId="45" fillId="46" borderId="60" xfId="0" applyFont="1" applyFill="1" applyBorder="1">
      <alignment horizontal="right" vertical="center" wrapText="1" indent="1"/>
    </xf>
    <xf numFmtId="0" fontId="45" fillId="46" borderId="67" xfId="0" applyFont="1" applyFill="1" applyBorder="1">
      <alignment horizontal="right" vertical="center" wrapText="1" indent="1"/>
    </xf>
    <xf numFmtId="0" fontId="45" fillId="46" borderId="62" xfId="0" applyFont="1" applyFill="1" applyBorder="1">
      <alignment horizontal="right" vertical="center" wrapText="1" indent="1"/>
    </xf>
    <xf numFmtId="0" fontId="45" fillId="46" borderId="39" xfId="0" applyFont="1" applyFill="1" applyBorder="1">
      <alignment horizontal="right" vertical="center" wrapText="1" indent="1"/>
    </xf>
    <xf numFmtId="0" fontId="120" fillId="0" borderId="0" xfId="0" applyFont="1">
      <alignment vertical="top" wrapText="1"/>
    </xf>
    <xf numFmtId="49" fontId="66" fillId="0" borderId="0" xfId="0" applyFont="1" applyNumberFormat="1">
      <alignment vertical="top" wrapText="1"/>
    </xf>
    <xf numFmtId="0" fontId="22" fillId="0" borderId="13" xfId="0" applyFont="1" applyBorder="1">
      <alignment horizontal="center" vertical="center" wrapText="1"/>
    </xf>
    <xf numFmtId="0" fontId="22" fillId="0" borderId="14" xfId="0" applyFont="1" applyBorder="1">
      <alignment horizontal="center" vertical="center" wrapText="1"/>
    </xf>
    <xf numFmtId="0" fontId="96" fillId="0" borderId="0" xfId="0" applyFont="1">
      <alignment horizontal="left" vertical="center" wrapText="1"/>
    </xf>
    <xf numFmtId="14" fontId="93" fillId="0" borderId="12" xfId="0" applyFont="1" applyBorder="1" applyNumberFormat="1">
      <alignment horizontal="center" vertical="center" wrapText="1"/>
    </xf>
    <xf numFmtId="0" fontId="22" fillId="0" borderId="0" xfId="0" applyFont="1">
      <alignment horizontal="center" vertical="center" wrapText="1"/>
    </xf>
    <xf numFmtId="0" fontId="22" fillId="0" borderId="15" xfId="0" applyFont="1" applyBorder="1">
      <alignment horizontal="left" vertical="center" wrapText="1" indent="1"/>
    </xf>
    <xf numFmtId="0" fontId="22" fillId="0" borderId="14" xfId="0" applyFont="1" applyBorder="1">
      <alignment horizontal="center" vertical="center" wrapText="1"/>
    </xf>
    <xf numFmtId="0" fontId="22" fillId="0" borderId="15" xfId="0" applyFont="1" applyBorder="1">
      <alignment horizontal="center" vertical="center" wrapText="1"/>
    </xf>
    <xf numFmtId="0" fontId="22" fillId="0" borderId="13" xfId="0" applyFont="1" applyBorder="1">
      <alignment horizontal="center" vertical="center" wrapText="1"/>
    </xf>
    <xf numFmtId="4" fontId="22" fillId="0" borderId="12" xfId="0" applyFont="1" applyBorder="1" applyNumberFormat="1">
      <alignment horizontal="center" vertical="center" wrapText="1"/>
    </xf>
    <xf numFmtId="0" fontId="22" fillId="40" borderId="17" xfId="0" applyFont="1" applyFill="1" applyBorder="1">
      <alignment horizontal="left" vertical="center" wrapText="1" indent="1"/>
    </xf>
    <xf numFmtId="0" fontId="22" fillId="40" borderId="23" xfId="0" applyFont="1" applyFill="1" applyBorder="1">
      <alignment horizontal="left" vertical="center" wrapText="1" indent="1"/>
    </xf>
    <xf numFmtId="49" fontId="22" fillId="40" borderId="12" xfId="0" applyFont="1" applyFill="1" applyBorder="1" applyNumberFormat="1">
      <alignment horizontal="center" vertical="center" wrapText="1"/>
    </xf>
    <xf numFmtId="49" fontId="22" fillId="0" borderId="12" xfId="0" applyFont="1" applyBorder="1" applyNumberFormat="1">
      <alignment horizontal="center" vertical="center" wrapText="1"/>
    </xf>
    <xf numFmtId="0" fontId="22" fillId="40" borderId="17" xfId="0" applyFont="1" applyFill="1" applyBorder="1">
      <alignment horizontal="left" vertical="center" wrapText="1" indent="2"/>
    </xf>
    <xf numFmtId="0" fontId="22" fillId="40" borderId="36" xfId="0" applyFont="1" applyFill="1" applyBorder="1">
      <alignment horizontal="left" vertical="center" wrapText="1" indent="2"/>
    </xf>
    <xf numFmtId="0" fontId="22" fillId="40" borderId="23" xfId="0" applyFont="1" applyFill="1" applyBorder="1">
      <alignment horizontal="left" vertical="center" wrapText="1" indent="2"/>
    </xf>
    <xf numFmtId="49" fontId="22" fillId="40" borderId="23" xfId="0" applyFont="1" applyFill="1" applyBorder="1" applyNumberFormat="1">
      <alignment horizontal="center" vertical="center" wrapText="1"/>
    </xf>
    <xf numFmtId="14" fontId="81" fillId="0" borderId="68" xfId="0" applyFont="1" applyBorder="1" applyNumberFormat="1">
      <alignment horizontal="center" vertical="center" wrapText="1"/>
    </xf>
    <xf numFmtId="0" fontId="22" fillId="0" borderId="68" xfId="0" applyFont="1" applyBorder="1">
      <alignment horizontal="center" vertical="center" wrapText="1"/>
    </xf>
    <xf numFmtId="49" fontId="35" fillId="0" borderId="69" xfId="0" applyFont="1" applyBorder="1" applyNumberFormat="1">
      <alignment horizontal="center" vertical="center" wrapText="1"/>
    </xf>
    <xf numFmtId="49" fontId="35" fillId="0" borderId="70" xfId="0" applyFont="1" applyBorder="1" applyNumberFormat="1">
      <alignment horizontal="center" vertical="center" wrapText="1"/>
    </xf>
    <xf numFmtId="49" fontId="35" fillId="0" borderId="14" xfId="0" applyFont="1" applyBorder="1" applyNumberFormat="1">
      <alignment horizontal="center" vertical="center" wrapText="1"/>
    </xf>
    <xf numFmtId="49" fontId="35" fillId="0" borderId="13" xfId="0" applyFont="1" applyBorder="1" applyNumberFormat="1">
      <alignment horizontal="center" vertical="center" wrapText="1"/>
    </xf>
    <xf numFmtId="0" fontId="22" fillId="0" borderId="20" xfId="0" applyFont="1" applyBorder="1">
      <alignment horizontal="left" vertical="center" wrapText="1" indent="1"/>
    </xf>
    <xf numFmtId="0" fontId="22" fillId="0" borderId="17" xfId="0" applyFont="1" applyBorder="1">
      <alignment horizontal="left" vertical="center" wrapText="1" indent="1"/>
    </xf>
    <xf numFmtId="0" fontId="22" fillId="0" borderId="37" xfId="0" applyFont="1" applyBorder="1">
      <alignment horizontal="left" vertical="center" wrapText="1" indent="1"/>
    </xf>
    <xf numFmtId="0" fontId="22" fillId="0" borderId="29" xfId="0" applyFont="1" applyBorder="1">
      <alignment horizontal="left" vertical="center" indent="1"/>
    </xf>
    <xf numFmtId="0" fontId="22" fillId="0" borderId="23" xfId="0" applyFont="1" applyBorder="1">
      <alignment horizontal="left" vertical="center" indent="1"/>
    </xf>
    <xf numFmtId="0" fontId="22" fillId="0" borderId="30" xfId="0" applyFont="1" applyBorder="1">
      <alignment horizontal="left" vertical="center" indent="1"/>
    </xf>
    <xf numFmtId="0" fontId="22" fillId="0" borderId="0" xfId="0" applyFont="1">
      <alignment horizontal="center" vertical="center" wrapText="1"/>
    </xf>
    <xf numFmtId="0" fontId="22" fillId="42" borderId="0" xfId="0" applyFont="1" applyFill="1">
      <alignment horizontal="center" vertical="center" wrapText="1"/>
    </xf>
    <xf numFmtId="0" fontId="22" fillId="0" borderId="12" xfId="0" applyFont="1" applyBorder="1">
      <alignment horizontal="center" vertical="center" wrapText="1"/>
    </xf>
    <xf numFmtId="0" fontId="75" fillId="0" borderId="37" xfId="0" applyFont="1" applyBorder="1">
      <alignment horizontal="center" vertical="center" wrapText="1"/>
    </xf>
    <xf numFmtId="0" fontId="75" fillId="0" borderId="19" xfId="0" applyFont="1" applyBorder="1">
      <alignment horizontal="center" vertical="center" wrapText="1"/>
    </xf>
    <xf numFmtId="0" fontId="0" fillId="0" borderId="0" xfId="0" applyFont="1">
      <alignment horizontal="left" vertical="center" wrapText="1" indent="2"/>
    </xf>
    <xf numFmtId="0" fontId="0" fillId="0" borderId="0" xfId="0" applyFont="1">
      <alignment horizontal="left" vertical="center" indent="2"/>
    </xf>
    <xf numFmtId="0" fontId="75" fillId="0" borderId="12" xfId="0" applyFont="1" applyBorder="1">
      <alignment horizontal="center" vertical="center" wrapText="1"/>
    </xf>
    <xf numFmtId="0" fontId="22" fillId="0" borderId="71" xfId="0" applyFont="1" applyBorder="1">
      <alignment horizontal="center" vertical="center" wrapText="1"/>
    </xf>
    <xf numFmtId="0" fontId="22" fillId="0" borderId="72" xfId="0" applyFont="1" applyBorder="1">
      <alignment horizontal="center" vertical="center" wrapText="1"/>
    </xf>
    <xf numFmtId="0" fontId="0" fillId="0" borderId="12" xfId="0" applyFont="1" applyBorder="1">
      <alignment horizontal="center" vertical="top"/>
    </xf>
    <xf numFmtId="49" fontId="0" fillId="0" borderId="12" xfId="0" applyFont="1" applyBorder="1" applyNumberFormat="1">
      <alignment vertical="top"/>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0" fontId="0" fillId="0" borderId="19" xfId="0" applyFont="1" applyBorder="1">
      <alignment horizontal="left" vertical="center" wrapText="1"/>
    </xf>
    <xf numFmtId="0" fontId="0" fillId="0" borderId="0" xfId="0" applyFont="1">
      <alignment horizontal="left" vertical="center" wrapText="1"/>
    </xf>
    <xf numFmtId="49" fontId="0" fillId="0" borderId="0" xfId="0" applyFont="1" applyNumberFormat="1">
      <alignment horizontal="left" vertical="center" wrapText="1"/>
    </xf>
    <xf numFmtId="49" fontId="0" fillId="0" borderId="19" xfId="0" applyFont="1" applyBorder="1" applyNumberFormat="1">
      <alignment horizontal="left" vertical="center" wrapText="1"/>
    </xf>
    <xf numFmtId="0" fontId="22" fillId="0" borderId="12" xfId="0" applyFont="1" applyBorder="1">
      <alignment horizontal="left" vertical="top" wrapText="1"/>
    </xf>
    <xf numFmtId="49" fontId="0" fillId="0" borderId="12" xfId="0" applyFont="1" applyBorder="1" applyNumberFormat="1">
      <alignment horizontal="left" vertical="top"/>
    </xf>
    <xf numFmtId="0" fontId="22" fillId="40" borderId="17" xfId="0" applyFont="1" applyFill="1" applyBorder="1">
      <alignment horizontal="center" vertical="top" wrapText="1"/>
    </xf>
    <xf numFmtId="0" fontId="22" fillId="40" borderId="36" xfId="0" applyFont="1" applyFill="1" applyBorder="1">
      <alignment horizontal="center" vertical="top" wrapText="1"/>
    </xf>
    <xf numFmtId="0" fontId="22" fillId="40" borderId="23" xfId="0" applyFont="1" applyFill="1" applyBorder="1">
      <alignment horizontal="center" vertical="top" wrapText="1"/>
    </xf>
    <xf numFmtId="0" fontId="0" fillId="0" borderId="37" xfId="0" applyFont="1" applyBorder="1">
      <alignment horizontal="center" vertical="center"/>
    </xf>
    <xf numFmtId="0" fontId="0" fillId="0" borderId="22" xfId="0" applyFont="1" applyBorder="1">
      <alignment horizontal="center" vertical="center"/>
    </xf>
    <xf numFmtId="0" fontId="0" fillId="0" borderId="19" xfId="0" applyFont="1" applyBorder="1">
      <alignment horizontal="center" vertical="center"/>
    </xf>
    <xf numFmtId="0" fontId="0" fillId="0" borderId="0" xfId="0" applyFont="1">
      <alignment horizontal="center" vertical="center"/>
    </xf>
    <xf numFmtId="49" fontId="22" fillId="0" borderId="19" xfId="0" applyFont="1" applyBorder="1" applyNumberFormat="1">
      <alignment horizontal="left" vertical="center" wrapText="1"/>
    </xf>
    <xf numFmtId="49" fontId="22" fillId="0" borderId="0" xfId="0" applyFont="1" applyNumberFormat="1">
      <alignment horizontal="left" vertical="center" wrapText="1"/>
    </xf>
    <xf numFmtId="49" fontId="0" fillId="0" borderId="0" xfId="0" applyFont="1" applyNumberFormat="1">
      <alignment horizontal="left" vertical="top"/>
    </xf>
    <xf numFmtId="0" fontId="0" fillId="0" borderId="12" xfId="0" applyFont="1" applyBorder="1">
      <alignment horizontal="center" vertical="center" wrapText="1"/>
    </xf>
    <xf numFmtId="49" fontId="47" fillId="35" borderId="27" xfId="0" applyFont="1" applyFill="1" applyBorder="1" applyNumberFormat="1">
      <alignment horizontal="center" vertical="center" wrapText="1"/>
    </xf>
    <xf numFmtId="0" fontId="22" fillId="0" borderId="20" xfId="0" applyFont="1" applyBorder="1">
      <alignment horizontal="left" vertical="top" wrapText="1" indent="1"/>
    </xf>
    <xf numFmtId="0" fontId="22" fillId="0" borderId="17" xfId="0" applyFont="1" applyBorder="1">
      <alignment horizontal="left" vertical="top" wrapText="1" indent="1"/>
    </xf>
    <xf numFmtId="0" fontId="22" fillId="0" borderId="37" xfId="0" applyFont="1" applyBorder="1">
      <alignment horizontal="left" vertical="top" wrapText="1" indent="1"/>
    </xf>
    <xf numFmtId="0" fontId="72" fillId="0" borderId="24" xfId="0" applyFont="1" applyBorder="1">
      <alignment horizontal="left" vertical="center" wrapText="1" indent="1"/>
    </xf>
    <xf numFmtId="0" fontId="72" fillId="0" borderId="36" xfId="0" applyFont="1" applyBorder="1">
      <alignment horizontal="left" vertical="center" wrapText="1" indent="1"/>
    </xf>
    <xf numFmtId="0" fontId="72" fillId="0" borderId="22" xfId="0" applyFont="1" applyBorder="1">
      <alignment horizontal="left" vertical="center" wrapText="1" indent="1"/>
    </xf>
    <xf numFmtId="0" fontId="22" fillId="0" borderId="27" xfId="0" applyFont="1" applyBorder="1">
      <alignment horizontal="left" vertical="center" indent="1"/>
    </xf>
    <xf numFmtId="0" fontId="22" fillId="39" borderId="12" xfId="0" applyFont="1" applyFill="1" applyBorder="1">
      <alignment horizontal="left" vertical="top" wrapText="1"/>
      <protection locked="0"/>
    </xf>
    <xf numFmtId="0" fontId="0" fillId="39" borderId="12" xfId="0" applyFont="1" applyFill="1" applyBorder="1">
      <alignment horizontal="left" vertical="top"/>
      <protection locked="0"/>
    </xf>
    <xf numFmtId="0" fontId="0" fillId="0" borderId="17" xfId="0" applyFont="1" applyBorder="1">
      <alignment horizontal="center" vertical="top"/>
    </xf>
    <xf numFmtId="0" fontId="0" fillId="0" borderId="36" xfId="0" applyFont="1" applyBorder="1">
      <alignment horizontal="center" vertical="top"/>
    </xf>
    <xf numFmtId="0" fontId="0" fillId="0" borderId="23" xfId="0" applyFont="1" applyBorder="1">
      <alignment horizontal="center" vertical="top"/>
    </xf>
    <xf numFmtId="0" fontId="22" fillId="0" borderId="17" xfId="0" applyFont="1" applyBorder="1">
      <alignment horizontal="left" vertical="top" wrapText="1"/>
    </xf>
    <xf numFmtId="0" fontId="22" fillId="0" borderId="36" xfId="0" applyFont="1" applyBorder="1">
      <alignment horizontal="left" vertical="top" wrapText="1"/>
    </xf>
    <xf numFmtId="0" fontId="22" fillId="0" borderId="23" xfId="0" applyFont="1" applyBorder="1">
      <alignment horizontal="left" vertical="top" wrapText="1"/>
    </xf>
    <xf numFmtId="0" fontId="0" fillId="0" borderId="0" xfId="0" applyFont="1" quotePrefix="1">
      <alignment horizontal="left" vertical="top" wrapText="1" indent="1"/>
    </xf>
    <xf numFmtId="0" fontId="0" fillId="0" borderId="0" xfId="0" applyFont="1">
      <alignment horizontal="left" vertical="top" wrapText="1" indent="1"/>
    </xf>
    <xf numFmtId="0" fontId="0" fillId="0" borderId="0" xfId="0" applyFont="1">
      <alignment horizontal="left" vertical="top" wrapText="1"/>
    </xf>
    <xf numFmtId="0" fontId="22" fillId="0" borderId="17" xfId="0" applyFont="1" applyBorder="1">
      <alignment horizontal="center" vertical="center" wrapText="1"/>
    </xf>
    <xf numFmtId="0" fontId="22" fillId="0" borderId="27" xfId="0" applyFont="1" applyBorder="1">
      <alignment horizontal="left" vertical="center" wrapText="1" indent="1"/>
    </xf>
    <xf numFmtId="0" fontId="39" fillId="0" borderId="0" xfId="0" applyFont="1">
      <alignment horizontal="left" vertical="center"/>
    </xf>
    <xf numFmtId="0" fontId="39" fillId="0" borderId="24" xfId="0" applyFont="1" applyBorder="1">
      <alignment horizontal="left" vertical="center"/>
    </xf>
    <xf numFmtId="0" fontId="22" fillId="0" borderId="12" xfId="0" applyFont="1" applyBorder="1">
      <alignment horizontal="left" vertical="center" wrapText="1"/>
    </xf>
    <xf numFmtId="0" fontId="22" fillId="0" borderId="37" xfId="0" applyFont="1" applyBorder="1">
      <alignment horizontal="left" vertical="center" wrapText="1"/>
    </xf>
    <xf numFmtId="0" fontId="22" fillId="0" borderId="19" xfId="0" applyFont="1" applyBorder="1">
      <alignment horizontal="center" vertical="center"/>
    </xf>
    <xf numFmtId="0" fontId="22" fillId="0" borderId="0" xfId="0" applyFont="1">
      <alignment horizontal="center" vertical="center"/>
    </xf>
    <xf numFmtId="49" fontId="22" fillId="0" borderId="12" xfId="0" applyFont="1" applyBorder="1" applyNumberFormat="1">
      <alignment horizontal="center" vertical="center"/>
    </xf>
    <xf numFmtId="0" fontId="22" fillId="0" borderId="14" xfId="0" applyFont="1" applyBorder="1">
      <alignment horizontal="left" vertical="center" wrapText="1"/>
    </xf>
    <xf numFmtId="49" fontId="22" fillId="40" borderId="17" xfId="0" applyFont="1" applyFill="1" applyBorder="1" applyNumberFormat="1">
      <alignment horizontal="center" vertical="center" wrapText="1"/>
    </xf>
    <xf numFmtId="49" fontId="22" fillId="40" borderId="36" xfId="0" applyFont="1" applyFill="1" applyBorder="1" applyNumberFormat="1">
      <alignment horizontal="center" vertical="center" wrapText="1"/>
    </xf>
    <xf numFmtId="0" fontId="39" fillId="0" borderId="27" xfId="0" applyFont="1" applyBorder="1">
      <alignment horizontal="left" vertical="center"/>
    </xf>
    <xf numFmtId="0" fontId="39" fillId="0" borderId="29" xfId="0" applyFont="1" applyBorder="1">
      <alignment horizontal="left" vertical="center"/>
    </xf>
    <xf numFmtId="49" fontId="22" fillId="0" borderId="17" xfId="0" applyFont="1" applyBorder="1" applyNumberFormat="1">
      <alignment horizontal="center" vertical="center"/>
    </xf>
    <xf numFmtId="0" fontId="22" fillId="0" borderId="17" xfId="0" applyFont="1" applyBorder="1">
      <alignment horizontal="left" vertical="center" wrapText="1"/>
    </xf>
    <xf numFmtId="0" fontId="22" fillId="0" borderId="19" xfId="0" applyFont="1" applyBorder="1">
      <alignment horizontal="left" vertical="center" wrapText="1" indent="1"/>
    </xf>
    <xf numFmtId="0" fontId="22" fillId="0" borderId="37" xfId="0" applyFont="1" applyBorder="1">
      <alignment horizontal="center" vertical="center" wrapText="1"/>
    </xf>
    <xf numFmtId="0" fontId="22" fillId="0" borderId="20" xfId="0" applyFont="1" applyBorder="1">
      <alignment horizontal="center" vertical="center" wrapText="1"/>
    </xf>
    <xf numFmtId="0" fontId="22" fillId="0" borderId="22" xfId="0" applyFont="1" applyBorder="1">
      <alignment horizontal="center" vertical="center" wrapText="1"/>
    </xf>
    <xf numFmtId="0" fontId="22" fillId="0" borderId="24" xfId="0" applyFont="1" applyBorder="1">
      <alignment horizontal="center" vertical="center" wrapText="1"/>
    </xf>
    <xf numFmtId="0" fontId="22" fillId="0" borderId="17" xfId="0" applyFont="1" applyBorder="1">
      <alignment horizontal="center" vertical="center" wrapText="1"/>
    </xf>
    <xf numFmtId="0" fontId="22" fillId="0" borderId="15" xfId="0" applyFont="1" applyBorder="1">
      <alignment horizontal="center" vertical="center" wrapText="1"/>
    </xf>
    <xf numFmtId="0" fontId="22" fillId="0" borderId="12" xfId="0" applyFont="1" applyBorder="1">
      <alignment horizontal="center" vertical="center" wrapText="1"/>
    </xf>
    <xf numFmtId="0" fontId="22" fillId="0" borderId="36" xfId="0" applyFont="1" applyBorder="1">
      <alignment horizontal="center" vertical="center" wrapText="1"/>
    </xf>
    <xf numFmtId="0" fontId="22" fillId="0" borderId="30" xfId="0" applyFont="1" applyBorder="1">
      <alignment horizontal="center" vertical="center" wrapText="1"/>
    </xf>
    <xf numFmtId="0" fontId="22" fillId="0" borderId="29" xfId="0" applyFont="1" applyBorder="1">
      <alignment horizontal="center" vertical="center" wrapText="1"/>
    </xf>
    <xf numFmtId="49" fontId="22" fillId="35" borderId="0" xfId="0" applyFont="1" applyFill="1" applyNumberFormat="1">
      <alignment horizontal="center" vertical="center" wrapText="1"/>
    </xf>
    <xf numFmtId="0" fontId="44" fillId="0" borderId="0" xfId="0" applyFont="1">
      <alignment horizontal="right" vertical="top" wrapText="1"/>
    </xf>
    <xf numFmtId="49" fontId="0" fillId="35" borderId="12" xfId="0" applyFont="1" applyFill="1" applyBorder="1" applyNumberFormat="1">
      <alignment horizontal="center" vertical="center" wrapText="1"/>
    </xf>
    <xf numFmtId="49" fontId="22" fillId="35" borderId="12" xfId="0" applyFont="1" applyFill="1" applyBorder="1" applyNumberFormat="1">
      <alignment horizontal="center" vertical="center" wrapText="1"/>
    </xf>
    <xf numFmtId="0" fontId="44" fillId="0" borderId="0" xfId="0" applyFont="1">
      <alignment horizontal="left" vertical="top" wrapText="1" indent="1"/>
    </xf>
    <xf numFmtId="0" fontId="93" fillId="35" borderId="0" xfId="0" applyFont="1" applyFill="1">
      <alignment horizontal="left" vertical="center" wrapText="1"/>
    </xf>
    <xf numFmtId="0" fontId="0" fillId="35" borderId="12" xfId="0" applyFont="1" applyFill="1" applyBorder="1">
      <alignment horizontal="center" vertical="center" wrapText="1"/>
    </xf>
    <xf numFmtId="0" fontId="22" fillId="35" borderId="12" xfId="0" applyFont="1" applyFill="1" applyBorder="1">
      <alignment horizontal="center" vertical="center" wrapText="1"/>
    </xf>
    <xf numFmtId="0" fontId="22" fillId="35" borderId="17" xfId="0" applyFont="1" applyFill="1" applyBorder="1">
      <alignment horizontal="left" vertical="top" wrapText="1"/>
    </xf>
    <xf numFmtId="0" fontId="22" fillId="35" borderId="36" xfId="0" applyFont="1" applyFill="1" applyBorder="1">
      <alignment horizontal="left" vertical="top" wrapText="1"/>
    </xf>
    <xf numFmtId="0" fontId="22" fillId="35" borderId="23" xfId="0" applyFont="1" applyFill="1" applyBorder="1">
      <alignment horizontal="left" vertical="top" wrapText="1"/>
    </xf>
    <xf numFmtId="0" fontId="22" fillId="35" borderId="24" xfId="0" applyFont="1" applyFill="1" applyBorder="1">
      <alignment horizontal="center" vertical="center" wrapText="1"/>
    </xf>
    <xf numFmtId="0" fontId="22" fillId="0" borderId="29" xfId="0" applyFont="1" applyBorder="1">
      <alignment horizontal="left" vertical="center" wrapText="1" indent="1"/>
    </xf>
    <xf numFmtId="0" fontId="22" fillId="0" borderId="23" xfId="0" applyFont="1" applyBorder="1">
      <alignment horizontal="left" vertical="center" wrapText="1" indent="1"/>
    </xf>
    <xf numFmtId="0" fontId="22" fillId="0" borderId="30" xfId="0" applyFont="1" applyBorder="1">
      <alignment horizontal="left" vertical="center" wrapText="1" indent="1"/>
    </xf>
    <xf numFmtId="0" fontId="46" fillId="0" borderId="0" xfId="0" applyFont="1">
      <alignment horizontal="center" vertical="center" wrapText="1"/>
    </xf>
    <xf numFmtId="0" fontId="0" fillId="0" borderId="14" xfId="0" applyFont="1" applyBorder="1">
      <alignment horizontal="center" vertical="center" wrapText="1"/>
    </xf>
    <xf numFmtId="0" fontId="0" fillId="0" borderId="15" xfId="0" applyFont="1" applyBorder="1">
      <alignment horizontal="center" vertical="center" wrapText="1"/>
    </xf>
    <xf numFmtId="0" fontId="0" fillId="0" borderId="13" xfId="0" applyFont="1" applyBorder="1">
      <alignment horizontal="center" vertical="center" wrapText="1"/>
    </xf>
    <xf numFmtId="0" fontId="0" fillId="0" borderId="17" xfId="0" applyFont="1" applyBorder="1">
      <alignment horizontal="left" vertical="top" wrapText="1"/>
    </xf>
    <xf numFmtId="0" fontId="0" fillId="0" borderId="23" xfId="0" applyFont="1" applyBorder="1">
      <alignment horizontal="left" vertical="top" wrapText="1"/>
    </xf>
    <xf numFmtId="0" fontId="0" fillId="0" borderId="12" xfId="0" applyFont="1" applyBorder="1">
      <alignment horizontal="center" vertical="center" wrapText="1"/>
    </xf>
    <xf numFmtId="0" fontId="0" fillId="0" borderId="17" xfId="0" applyFont="1" applyBorder="1">
      <alignment horizontal="center" vertical="center" wrapText="1"/>
    </xf>
    <xf numFmtId="0" fontId="0" fillId="0" borderId="23" xfId="0" applyFont="1" applyBorder="1">
      <alignment horizontal="center" vertical="center" wrapText="1"/>
    </xf>
    <xf numFmtId="0" fontId="0" fillId="0" borderId="37" xfId="0" applyFont="1" applyBorder="1">
      <alignment horizontal="center" vertical="center" wrapText="1"/>
    </xf>
    <xf numFmtId="0" fontId="0" fillId="0" borderId="30" xfId="0" applyFont="1" applyBorder="1">
      <alignment horizontal="center" vertical="center" wrapText="1"/>
    </xf>
    <xf numFmtId="0" fontId="0" fillId="0" borderId="17" xfId="0" applyFont="1" applyBorder="1">
      <alignment horizontal="center" vertical="center" wrapText="1"/>
    </xf>
    <xf numFmtId="0" fontId="0" fillId="0" borderId="23" xfId="0" applyFont="1" applyBorder="1">
      <alignment horizontal="center" vertical="center" wrapText="1"/>
    </xf>
    <xf numFmtId="0" fontId="0" fillId="0" borderId="20" xfId="0" applyFont="1" applyBorder="1">
      <alignment horizontal="center" vertical="center" wrapText="1"/>
    </xf>
    <xf numFmtId="0" fontId="0" fillId="0" borderId="29" xfId="0" applyFont="1" applyBorder="1">
      <alignment horizontal="center" vertical="center" wrapText="1"/>
    </xf>
    <xf numFmtId="0" fontId="22" fillId="0" borderId="23" xfId="0" applyFont="1" applyBorder="1">
      <alignment horizontal="center" vertical="center" wrapText="1"/>
    </xf>
    <xf numFmtId="49" fontId="0" fillId="0" borderId="37" xfId="0" applyFont="1" applyBorder="1" applyNumberFormat="1">
      <alignment horizontal="center" vertical="center" wrapText="1"/>
    </xf>
    <xf numFmtId="49" fontId="0" fillId="0" borderId="30" xfId="0" applyFont="1" applyBorder="1" applyNumberFormat="1">
      <alignment horizontal="center" vertical="center" wrapText="1"/>
    </xf>
    <xf numFmtId="0" fontId="22" fillId="40" borderId="19" xfId="0" applyFont="1" applyFill="1" applyBorder="1">
      <alignment horizontal="left" vertical="center" wrapText="1"/>
    </xf>
    <xf numFmtId="0" fontId="22" fillId="40" borderId="27" xfId="0" applyFont="1" applyFill="1" applyBorder="1">
      <alignment horizontal="left" vertical="center" wrapText="1"/>
    </xf>
    <xf numFmtId="0" fontId="22" fillId="0" borderId="19" xfId="0" applyFont="1" applyBorder="1">
      <alignment horizontal="left" vertical="top" wrapText="1" indent="1"/>
    </xf>
    <xf numFmtId="0" fontId="22" fillId="0" borderId="20" xfId="0" applyFont="1" applyBorder="1">
      <alignment horizontal="left" vertical="center" wrapText="1" indent="1"/>
    </xf>
    <xf numFmtId="0" fontId="22" fillId="0" borderId="17" xfId="0" applyFont="1" applyBorder="1">
      <alignment horizontal="left" vertical="center" wrapText="1" indent="1"/>
    </xf>
    <xf numFmtId="0" fontId="22" fillId="0" borderId="37" xfId="0" applyFont="1" applyBorder="1">
      <alignment horizontal="left" vertical="center" wrapText="1" indent="1"/>
    </xf>
    <xf numFmtId="0" fontId="0" fillId="0" borderId="36" xfId="0" applyFont="1" applyBorder="1">
      <alignment horizontal="left" vertical="top" wrapText="1"/>
    </xf>
    <xf numFmtId="0" fontId="22" fillId="34" borderId="14" xfId="0" applyFont="1" applyFill="1" applyBorder="1">
      <alignment horizontal="left" vertical="center" wrapText="1"/>
    </xf>
    <xf numFmtId="0" fontId="22" fillId="34" borderId="15" xfId="0" applyFont="1" applyFill="1" applyBorder="1">
      <alignment horizontal="left" vertical="center" wrapText="1"/>
    </xf>
    <xf numFmtId="0" fontId="22" fillId="34" borderId="13" xfId="0" applyFont="1" applyFill="1" applyBorder="1">
      <alignment horizontal="left" vertical="center" wrapText="1"/>
    </xf>
    <xf numFmtId="0" fontId="22" fillId="40" borderId="14" xfId="0" applyFont="1" applyFill="1" applyBorder="1">
      <alignment horizontal="left" vertical="center" wrapText="1"/>
    </xf>
    <xf numFmtId="0" fontId="22" fillId="40" borderId="15" xfId="0" applyFont="1" applyFill="1" applyBorder="1">
      <alignment horizontal="left" vertical="center" wrapText="1"/>
    </xf>
    <xf numFmtId="0" fontId="22" fillId="40" borderId="13" xfId="0" applyFont="1" applyFill="1" applyBorder="1">
      <alignment horizontal="left" vertical="center" wrapText="1"/>
    </xf>
    <xf numFmtId="0" fontId="22" fillId="0" borderId="19" xfId="0" applyFont="1" applyBorder="1">
      <alignment horizontal="left" vertical="top" wrapText="1" indent="1"/>
    </xf>
    <xf numFmtId="0" fontId="22" fillId="0" borderId="27" xfId="0" applyFont="1" applyBorder="1">
      <alignment horizontal="left" vertical="center" wrapText="1" indent="1"/>
    </xf>
    <xf numFmtId="0" fontId="0" fillId="35" borderId="12" xfId="0" applyFont="1" applyFill="1" applyBorder="1">
      <alignment horizontal="right" vertical="center" wrapText="1" indent="1"/>
    </xf>
    <xf numFmtId="0" fontId="22" fillId="34" borderId="12" xfId="0" applyFont="1" applyFill="1" applyBorder="1">
      <alignment horizontal="left" vertical="center" wrapText="1" indent="1"/>
    </xf>
    <xf numFmtId="0" fontId="36" fillId="0" borderId="27" xfId="0" applyFont="1" applyBorder="1">
      <alignment horizontal="center" vertical="center" wrapText="1"/>
    </xf>
    <xf numFmtId="0" fontId="44" fillId="0" borderId="17" xfId="0" applyFont="1" applyBorder="1">
      <alignment horizontal="left" vertical="top" wrapText="1"/>
    </xf>
    <xf numFmtId="0" fontId="44" fillId="0" borderId="36" xfId="0" applyFont="1" applyBorder="1">
      <alignment horizontal="left" vertical="top" wrapText="1"/>
    </xf>
    <xf numFmtId="0" fontId="44" fillId="0" borderId="23" xfId="0" applyFont="1" applyBorder="1">
      <alignment horizontal="left" vertical="top" wrapText="1"/>
    </xf>
    <xf numFmtId="0" fontId="46" fillId="0" borderId="12" xfId="0" applyFont="1" applyBorder="1">
      <alignment horizontal="center" vertical="center" wrapText="1"/>
    </xf>
    <xf numFmtId="0" fontId="47" fillId="0" borderId="0" xfId="0" applyFont="1">
      <alignment horizontal="center" vertical="center" wrapText="1"/>
    </xf>
    <xf numFmtId="0" fontId="46" fillId="0" borderId="12" xfId="0" applyFont="1" applyBorder="1">
      <alignment horizontal="center" vertical="center"/>
    </xf>
    <xf numFmtId="0" fontId="46" fillId="0" borderId="14" xfId="0" applyFont="1" applyBorder="1">
      <alignment horizontal="center" vertical="center"/>
    </xf>
    <xf numFmtId="0" fontId="22" fillId="0" borderId="17" xfId="0" applyFont="1" applyBorder="1">
      <alignment horizontal="center" vertical="center" wrapText="1"/>
    </xf>
    <xf numFmtId="0" fontId="22" fillId="0" borderId="23" xfId="0" applyFont="1" applyBorder="1">
      <alignment horizontal="center" vertical="center" wrapText="1"/>
    </xf>
    <xf numFmtId="0" fontId="22" fillId="0" borderId="14" xfId="0" applyFont="1" applyBorder="1">
      <alignment horizontal="center" vertical="center" wrapText="1"/>
    </xf>
    <xf numFmtId="0" fontId="22" fillId="0" borderId="13" xfId="0" applyFont="1" applyBorder="1">
      <alignment horizontal="center" vertical="center" wrapText="1"/>
    </xf>
    <xf numFmtId="201" fontId="22" fillId="34" borderId="12" xfId="0" applyFont="1" applyFill="1" applyBorder="1" applyNumberFormat="1">
      <alignment horizontal="left" vertical="center" wrapText="1" indent="1"/>
    </xf>
    <xf numFmtId="201" fontId="0" fillId="39" borderId="12" xfId="0" applyFont="1" applyFill="1" applyBorder="1" applyNumberFormat="1">
      <alignment horizontal="center" vertical="center" wrapText="1"/>
      <protection locked="0"/>
    </xf>
    <xf numFmtId="49" fontId="0" fillId="39" borderId="12" xfId="0" applyFont="1" applyFill="1" applyBorder="1" applyNumberFormat="1">
      <alignment horizontal="center" vertical="center" wrapText="1"/>
      <protection locked="0"/>
    </xf>
    <xf numFmtId="201" fontId="46" fillId="0" borderId="12" xfId="0" applyFont="1" applyBorder="1" applyNumberFormat="1">
      <alignment horizontal="center" vertical="center" wrapText="1"/>
    </xf>
    <xf numFmtId="49" fontId="46" fillId="0" borderId="12" xfId="0" applyFont="1" applyBorder="1" applyNumberFormat="1">
      <alignment horizontal="center" vertical="center" wrapText="1"/>
    </xf>
    <xf numFmtId="0" fontId="22" fillId="0" borderId="15" xfId="0" applyFont="1" applyBorder="1">
      <alignment horizontal="center" vertical="center" wrapText="1"/>
    </xf>
    <xf numFmtId="0" fontId="0" fillId="0" borderId="14" xfId="0" applyFont="1" applyBorder="1">
      <alignment horizontal="center" vertical="center" wrapText="1"/>
    </xf>
    <xf numFmtId="0" fontId="0" fillId="0" borderId="13" xfId="0" applyFont="1" applyBorder="1">
      <alignment horizontal="center" vertical="center" wrapText="1"/>
    </xf>
    <xf numFmtId="0" fontId="80" fillId="35" borderId="19" xfId="0" applyFont="1" applyFill="1" applyBorder="1">
      <alignment horizontal="center" vertical="center" wrapText="1"/>
    </xf>
    <xf numFmtId="0" fontId="22" fillId="35" borderId="12" xfId="0" applyFont="1" applyFill="1" applyBorder="1">
      <alignment horizontal="left" vertical="center" wrapText="1"/>
    </xf>
    <xf numFmtId="0" fontId="0" fillId="35" borderId="14" xfId="0" applyFont="1" applyFill="1" applyBorder="1">
      <alignment horizontal="center" vertical="center" wrapText="1"/>
    </xf>
    <xf numFmtId="0" fontId="0" fillId="35" borderId="15" xfId="0" applyFont="1" applyFill="1" applyBorder="1">
      <alignment horizontal="center" vertical="center" wrapText="1"/>
    </xf>
    <xf numFmtId="0" fontId="0" fillId="35" borderId="13" xfId="0" applyFont="1" applyFill="1" applyBorder="1">
      <alignment horizontal="center" vertical="center" wrapText="1"/>
    </xf>
    <xf numFmtId="0" fontId="22" fillId="35" borderId="17" xfId="0" applyFont="1" applyFill="1" applyBorder="1">
      <alignment horizontal="center" vertical="center" wrapText="1"/>
    </xf>
    <xf numFmtId="0" fontId="22" fillId="35" borderId="36" xfId="0" applyFont="1" applyFill="1" applyBorder="1">
      <alignment horizontal="center" vertical="center" wrapText="1"/>
    </xf>
    <xf numFmtId="0" fontId="22" fillId="35" borderId="23" xfId="0" applyFont="1" applyFill="1" applyBorder="1">
      <alignment horizontal="center" vertical="center" wrapText="1"/>
    </xf>
    <xf numFmtId="49" fontId="39" fillId="37" borderId="17" xfId="0" applyFont="1" applyFill="1" applyBorder="1" applyNumberFormat="1">
      <alignment horizontal="center" vertical="center" textRotation="90" wrapText="1"/>
    </xf>
    <xf numFmtId="49" fontId="39" fillId="37" borderId="36" xfId="0" applyFont="1" applyFill="1" applyBorder="1" applyNumberFormat="1">
      <alignment horizontal="center" vertical="center" textRotation="90" wrapText="1"/>
    </xf>
    <xf numFmtId="49" fontId="39" fillId="37" borderId="23" xfId="0" applyFont="1" applyFill="1" applyBorder="1" applyNumberFormat="1">
      <alignment horizontal="center" vertical="center" textRotation="90" wrapText="1"/>
    </xf>
    <xf numFmtId="0" fontId="46" fillId="0" borderId="17" xfId="0" applyFont="1" applyBorder="1">
      <alignment horizontal="center" vertical="center" wrapText="1"/>
    </xf>
    <xf numFmtId="0" fontId="46" fillId="0" borderId="23" xfId="0" applyFont="1" applyBorder="1">
      <alignment horizontal="center" vertical="center" wrapText="1"/>
    </xf>
    <xf numFmtId="0" fontId="22" fillId="0" borderId="0" xfId="0" applyFont="1">
      <alignment horizontal="left" vertical="top" wrapText="1"/>
    </xf>
    <xf numFmtId="0" fontId="46" fillId="0" borderId="14" xfId="0" applyFont="1" applyBorder="1">
      <alignment horizontal="center" vertical="center" wrapText="1"/>
    </xf>
    <xf numFmtId="201" fontId="0" fillId="39" borderId="17" xfId="0" applyFont="1" applyFill="1" applyBorder="1" applyNumberFormat="1">
      <alignment horizontal="center" vertical="center" wrapText="1"/>
      <protection locked="0"/>
    </xf>
    <xf numFmtId="49" fontId="0" fillId="39" borderId="23" xfId="0" applyFont="1" applyFill="1" applyBorder="1" applyNumberFormat="1">
      <alignment horizontal="center" vertical="center" wrapText="1"/>
      <protection locked="0"/>
    </xf>
    <xf numFmtId="0" fontId="22" fillId="0" borderId="12" xfId="0" applyFont="1" applyBorder="1">
      <alignment horizontal="center" vertical="center"/>
    </xf>
    <xf numFmtId="0" fontId="22" fillId="0" borderId="14" xfId="0" applyFont="1" applyBorder="1">
      <alignment horizontal="center" vertical="center"/>
    </xf>
    <xf numFmtId="0" fontId="0" fillId="35" borderId="19" xfId="0" applyFont="1" applyFill="1" applyBorder="1">
      <alignment horizontal="center" vertical="center" wrapText="1"/>
    </xf>
    <xf numFmtId="0" fontId="47" fillId="0" borderId="17" xfId="0" applyFont="1" applyBorder="1">
      <alignment horizontal="center" vertical="center" wrapText="1"/>
    </xf>
    <xf numFmtId="0" fontId="47" fillId="0" borderId="23" xfId="0" applyFont="1" applyBorder="1">
      <alignment horizontal="center" vertical="center" wrapText="1"/>
    </xf>
    <xf numFmtId="0" fontId="22" fillId="0" borderId="37" xfId="0" applyFont="1" applyBorder="1">
      <alignment horizontal="center" vertical="center" wrapText="1"/>
    </xf>
    <xf numFmtId="0" fontId="22" fillId="0" borderId="30" xfId="0" applyFont="1" applyBorder="1">
      <alignment horizontal="center" vertical="center" wrapText="1"/>
    </xf>
    <xf numFmtId="0" fontId="47" fillId="0" borderId="14" xfId="0" applyFont="1" applyBorder="1">
      <alignment horizontal="left" vertical="center" wrapText="1"/>
    </xf>
    <xf numFmtId="0" fontId="47" fillId="0" borderId="15" xfId="0" applyFont="1" applyBorder="1">
      <alignment horizontal="left" vertical="center" wrapText="1"/>
    </xf>
    <xf numFmtId="0" fontId="47" fillId="0" borderId="13" xfId="0" applyFont="1" applyBorder="1">
      <alignment horizontal="left" vertical="center" wrapText="1"/>
    </xf>
    <xf numFmtId="0" fontId="0" fillId="0" borderId="0" xfId="0" applyFont="1">
      <alignment horizontal="left" vertical="top" wrapText="1"/>
    </xf>
    <xf numFmtId="0" fontId="22" fillId="34" borderId="37" xfId="0" applyFont="1" applyFill="1" applyBorder="1">
      <alignment horizontal="left" vertical="center" wrapText="1"/>
    </xf>
    <xf numFmtId="0" fontId="22" fillId="34" borderId="19" xfId="0" applyFont="1" applyFill="1" applyBorder="1">
      <alignment horizontal="left" vertical="center" wrapText="1"/>
    </xf>
    <xf numFmtId="0" fontId="22" fillId="34" borderId="20" xfId="0" applyFont="1" applyFill="1" applyBorder="1">
      <alignment horizontal="left" vertical="center" wrapText="1"/>
    </xf>
    <xf numFmtId="0" fontId="22" fillId="34" borderId="12" xfId="0" applyFont="1" applyFill="1" applyBorder="1">
      <alignment horizontal="left" vertical="center" wrapText="1"/>
    </xf>
    <xf numFmtId="0" fontId="47" fillId="0" borderId="12" xfId="0" applyFont="1" applyBorder="1">
      <alignment horizontal="left" vertical="center" wrapText="1"/>
    </xf>
    <xf numFmtId="0" fontId="22" fillId="40" borderId="12" xfId="0" applyFont="1" applyFill="1" applyBorder="1">
      <alignment horizontal="left" vertical="center" wrapText="1"/>
    </xf>
    <xf numFmtId="201" fontId="0" fillId="39" borderId="23" xfId="0" applyFont="1" applyFill="1" applyBorder="1" applyNumberFormat="1">
      <alignment horizontal="center" vertical="center" wrapText="1"/>
      <protection locked="0"/>
    </xf>
    <xf numFmtId="0" fontId="22" fillId="0" borderId="19" xfId="0" applyFont="1" applyBorder="1">
      <alignment horizontal="left" vertical="center" wrapText="1" indent="1"/>
    </xf>
    <xf numFmtId="0" fontId="22" fillId="40" borderId="20" xfId="0" applyFont="1" applyFill="1" applyBorder="1">
      <alignment horizontal="left" vertical="center" wrapText="1"/>
    </xf>
    <xf numFmtId="49" fontId="0" fillId="39" borderId="12" xfId="0" applyFont="1" applyFill="1" applyBorder="1" applyNumberFormat="1">
      <alignment horizontal="center" vertical="center" wrapText="1"/>
      <protection locked="0"/>
    </xf>
    <xf numFmtId="0" fontId="22" fillId="0" borderId="12" xfId="0" applyFont="1" applyBorder="1">
      <alignment horizontal="center" vertical="center"/>
    </xf>
    <xf numFmtId="0" fontId="22" fillId="0" borderId="14" xfId="0" applyFont="1" applyBorder="1">
      <alignment horizontal="center" vertical="center"/>
    </xf>
    <xf numFmtId="0" fontId="22" fillId="0" borderId="12" xfId="0" applyFont="1" applyBorder="1">
      <alignment horizontal="center" vertical="center" wrapText="1"/>
    </xf>
    <xf numFmtId="0" fontId="22" fillId="0" borderId="19" xfId="0" applyFont="1" applyBorder="1">
      <alignment horizontal="center" vertical="center" wrapText="1"/>
    </xf>
    <xf numFmtId="0" fontId="22" fillId="0" borderId="20" xfId="0" applyFont="1" applyBorder="1">
      <alignment horizontal="center" vertical="center" wrapText="1"/>
    </xf>
    <xf numFmtId="0" fontId="22" fillId="0" borderId="27" xfId="0" applyFont="1" applyBorder="1">
      <alignment horizontal="center" vertical="center" wrapText="1"/>
    </xf>
    <xf numFmtId="0" fontId="22" fillId="0" borderId="29" xfId="0" applyFont="1" applyBorder="1">
      <alignment horizontal="center" vertical="center" wrapText="1"/>
    </xf>
    <xf numFmtId="0" fontId="0" fillId="0" borderId="17" xfId="0" applyFont="1" applyBorder="1">
      <alignment horizontal="center" vertical="center" wrapText="1"/>
    </xf>
    <xf numFmtId="0" fontId="0" fillId="0" borderId="36" xfId="0" applyFont="1" applyBorder="1">
      <alignment horizontal="center" vertical="center" wrapText="1"/>
    </xf>
    <xf numFmtId="0" fontId="0" fillId="0" borderId="23" xfId="0" applyFont="1" applyBorder="1">
      <alignment horizontal="center" vertical="center" wrapText="1"/>
    </xf>
    <xf numFmtId="0" fontId="0" fillId="0" borderId="15" xfId="0" applyFont="1" applyBorder="1">
      <alignment horizontal="center" vertical="center" wrapText="1"/>
    </xf>
    <xf numFmtId="0" fontId="0" fillId="0" borderId="37" xfId="0" applyFont="1" applyBorder="1">
      <alignment horizontal="center" vertical="center" wrapText="1"/>
    </xf>
    <xf numFmtId="0" fontId="0" fillId="0" borderId="20" xfId="0" applyFont="1" applyBorder="1">
      <alignment horizontal="center" vertical="center" wrapText="1"/>
    </xf>
    <xf numFmtId="0" fontId="0" fillId="0" borderId="30" xfId="0" applyFont="1" applyBorder="1">
      <alignment horizontal="center" vertical="center" wrapText="1"/>
    </xf>
    <xf numFmtId="0" fontId="0" fillId="0" borderId="29" xfId="0" applyFont="1" applyBorder="1">
      <alignment horizontal="center" vertical="center" wrapText="1"/>
    </xf>
    <xf numFmtId="0" fontId="22" fillId="0" borderId="22" xfId="0" applyFont="1" applyBorder="1">
      <alignment horizontal="center" vertical="center" wrapText="1"/>
    </xf>
    <xf numFmtId="0" fontId="36" fillId="0" borderId="12" xfId="0" applyFont="1" applyBorder="1">
      <alignment horizontal="center" vertical="center" wrapText="1"/>
    </xf>
    <xf numFmtId="49" fontId="22" fillId="40" borderId="12" xfId="0" applyFont="1" applyFill="1" applyBorder="1" applyNumberFormat="1">
      <alignment horizontal="left" vertical="center" wrapText="1" indent="1"/>
    </xf>
    <xf numFmtId="0" fontId="0" fillId="35" borderId="37" xfId="0" applyFont="1" applyFill="1" applyBorder="1">
      <alignment horizontal="center" vertical="center" wrapText="1"/>
    </xf>
    <xf numFmtId="0" fontId="0" fillId="35" borderId="20" xfId="0" applyFont="1" applyFill="1" applyBorder="1">
      <alignment horizontal="center" vertical="center" wrapText="1"/>
    </xf>
    <xf numFmtId="0" fontId="0" fillId="35" borderId="22" xfId="0" applyFont="1" applyFill="1" applyBorder="1">
      <alignment horizontal="center" vertical="center" wrapText="1"/>
    </xf>
    <xf numFmtId="0" fontId="0" fillId="35" borderId="0" xfId="0" applyFont="1" applyFill="1">
      <alignment horizontal="center" vertical="center" wrapText="1"/>
    </xf>
    <xf numFmtId="0" fontId="0" fillId="35" borderId="24" xfId="0" applyFont="1" applyFill="1" applyBorder="1">
      <alignment horizontal="center" vertical="center" wrapText="1"/>
    </xf>
    <xf numFmtId="0" fontId="0" fillId="35" borderId="30" xfId="0" applyFont="1" applyFill="1" applyBorder="1">
      <alignment horizontal="center" vertical="center" wrapText="1"/>
    </xf>
    <xf numFmtId="0" fontId="0" fillId="35" borderId="27" xfId="0" applyFont="1" applyFill="1" applyBorder="1">
      <alignment horizontal="center" vertical="center" wrapText="1"/>
    </xf>
    <xf numFmtId="0" fontId="0" fillId="35" borderId="29" xfId="0" applyFont="1" applyFill="1" applyBorder="1">
      <alignment horizontal="center" vertical="center" wrapText="1"/>
    </xf>
    <xf numFmtId="0" fontId="22" fillId="35" borderId="37" xfId="0" applyFont="1" applyFill="1" applyBorder="1">
      <alignment horizontal="center" vertical="center" wrapText="1"/>
    </xf>
    <xf numFmtId="0" fontId="22" fillId="35" borderId="22" xfId="0" applyFont="1" applyFill="1" applyBorder="1">
      <alignment horizontal="center" vertical="center" wrapText="1"/>
    </xf>
    <xf numFmtId="0" fontId="22" fillId="35" borderId="30" xfId="0" applyFont="1" applyFill="1" applyBorder="1">
      <alignment horizontal="center" vertical="center" wrapText="1"/>
    </xf>
    <xf numFmtId="0" fontId="22" fillId="39" borderId="12" xfId="0" applyFont="1" applyFill="1" applyBorder="1">
      <alignment horizontal="center" vertical="center" wrapText="1"/>
      <protection locked="0"/>
    </xf>
    <xf numFmtId="0" fontId="22" fillId="34" borderId="12" xfId="0" applyFont="1" applyFill="1" applyBorder="1">
      <alignment horizontal="center" vertical="center" wrapText="1"/>
    </xf>
    <xf numFmtId="0" fontId="22" fillId="35" borderId="17" xfId="0" applyFont="1" applyFill="1" applyBorder="1">
      <alignment horizontal="left" vertical="center" wrapText="1"/>
    </xf>
    <xf numFmtId="0" fontId="22" fillId="35" borderId="36" xfId="0" applyFont="1" applyFill="1" applyBorder="1">
      <alignment horizontal="left" vertical="center" wrapText="1"/>
    </xf>
    <xf numFmtId="0" fontId="22" fillId="35" borderId="23" xfId="0" applyFont="1" applyFill="1" applyBorder="1">
      <alignment horizontal="left" vertical="center" wrapText="1"/>
    </xf>
    <xf numFmtId="49" fontId="22" fillId="39" borderId="17" xfId="0" applyFont="1" applyFill="1" applyBorder="1" applyNumberFormat="1">
      <alignment horizontal="left" vertical="center" wrapText="1" indent="6"/>
      <protection locked="0"/>
    </xf>
    <xf numFmtId="49" fontId="22" fillId="39" borderId="36" xfId="0" applyFont="1" applyFill="1" applyBorder="1" applyNumberFormat="1">
      <alignment horizontal="left" vertical="center" wrapText="1" indent="6"/>
      <protection locked="0"/>
    </xf>
    <xf numFmtId="49" fontId="22" fillId="39" borderId="23" xfId="0" applyFont="1" applyFill="1" applyBorder="1" applyNumberFormat="1">
      <alignment horizontal="left" vertical="center" wrapText="1" indent="6"/>
      <protection locked="0"/>
    </xf>
    <xf numFmtId="0" fontId="47" fillId="0" borderId="24" xfId="0" applyFont="1" applyBorder="1">
      <alignment horizontal="center" vertical="top" wrapText="1"/>
    </xf>
    <xf numFmtId="49" fontId="22" fillId="0" borderId="12" xfId="0" applyFont="1" applyBorder="1" applyNumberFormat="1">
      <alignment horizontal="left" vertical="center" wrapText="1" indent="1"/>
    </xf>
    <xf numFmtId="0" fontId="44" fillId="0" borderId="12" xfId="0" applyFont="1" applyBorder="1">
      <alignment horizontal="left" vertical="top" wrapText="1"/>
    </xf>
    <xf numFmtId="0" fontId="22" fillId="36" borderId="14" xfId="0" applyFont="1" applyFill="1" applyBorder="1">
      <alignment horizontal="left" vertical="center" wrapText="1"/>
      <protection locked="0"/>
    </xf>
    <xf numFmtId="0" fontId="22" fillId="36" borderId="15" xfId="0" applyFont="1" applyFill="1" applyBorder="1">
      <alignment horizontal="left" vertical="center" wrapText="1"/>
      <protection locked="0"/>
    </xf>
    <xf numFmtId="0" fontId="22" fillId="36" borderId="13" xfId="0" applyFont="1" applyFill="1" applyBorder="1">
      <alignment horizontal="left" vertical="center" wrapText="1"/>
      <protection locked="0"/>
    </xf>
    <xf numFmtId="49" fontId="22" fillId="36" borderId="14" xfId="0" applyFont="1" applyFill="1" applyBorder="1" applyNumberFormat="1">
      <alignment horizontal="left" vertical="center" wrapText="1"/>
      <protection locked="0"/>
    </xf>
    <xf numFmtId="49" fontId="22" fillId="36" borderId="15" xfId="0" applyFont="1" applyFill="1" applyBorder="1" applyNumberFormat="1">
      <alignment horizontal="left" vertical="center" wrapText="1"/>
      <protection locked="0"/>
    </xf>
    <xf numFmtId="49" fontId="22" fillId="36" borderId="13" xfId="0" applyFont="1" applyFill="1" applyBorder="1" applyNumberFormat="1">
      <alignment horizontal="left" vertical="center" wrapText="1"/>
      <protection locked="0"/>
    </xf>
    <xf numFmtId="0" fontId="22" fillId="39" borderId="13" xfId="0" applyFont="1" applyFill="1" applyBorder="1">
      <alignment horizontal="center" vertical="center" wrapText="1"/>
      <protection locked="0"/>
    </xf>
    <xf numFmtId="4" fontId="22" fillId="39" borderId="12" xfId="0" applyFont="1" applyFill="1" applyBorder="1" applyNumberFormat="1">
      <alignment horizontal="center" vertical="center" wrapText="1"/>
      <protection locked="0"/>
    </xf>
    <xf numFmtId="49" fontId="22" fillId="40" borderId="20" xfId="0" applyFont="1" applyFill="1" applyBorder="1" applyNumberFormat="1">
      <alignment horizontal="center" vertical="center" wrapText="1"/>
    </xf>
    <xf numFmtId="49" fontId="22" fillId="40" borderId="29" xfId="0" applyFont="1" applyFill="1" applyBorder="1" applyNumberFormat="1">
      <alignment horizontal="center" vertical="center" wrapText="1"/>
    </xf>
    <xf numFmtId="49" fontId="22" fillId="36" borderId="17" xfId="0" applyFont="1" applyFill="1" applyBorder="1" applyNumberFormat="1">
      <alignment horizontal="left" vertical="center" wrapText="1" indent="6"/>
      <protection locked="0"/>
    </xf>
    <xf numFmtId="49" fontId="22" fillId="36" borderId="36" xfId="0" applyFont="1" applyFill="1" applyBorder="1" applyNumberFormat="1">
      <alignment horizontal="left" vertical="center" wrapText="1" indent="6"/>
      <protection locked="0"/>
    </xf>
    <xf numFmtId="49" fontId="22" fillId="36" borderId="23" xfId="0" applyFont="1" applyFill="1" applyBorder="1" applyNumberFormat="1">
      <alignment horizontal="left" vertical="center" wrapText="1" indent="6"/>
      <protection locked="0"/>
    </xf>
    <xf numFmtId="4" fontId="22" fillId="39" borderId="12" xfId="0" applyFont="1" applyFill="1" applyBorder="1" applyNumberFormat="1">
      <alignment horizontal="left" vertical="center" wrapText="1" indent="1"/>
      <protection locked="0"/>
    </xf>
    <xf numFmtId="0" fontId="47" fillId="0" borderId="19" xfId="0" applyFont="1" applyBorder="1">
      <alignment horizontal="left" vertical="center" wrapText="1"/>
    </xf>
    <xf numFmtId="49" fontId="22" fillId="35" borderId="12" xfId="59" applyFont="1" applyFill="1" applyBorder="1" applyNumberFormat="1">
      <alignment horizontal="center" vertical="center" wrapText="1"/>
    </xf>
    <xf numFmtId="0" fontId="22" fillId="0" borderId="12" xfId="0" applyFont="1" applyBorder="1">
      <alignment horizontal="center" vertical="center" wrapText="1"/>
    </xf>
    <xf numFmtId="0" fontId="22" fillId="0" borderId="15" xfId="0" applyFont="1" applyBorder="1">
      <alignment horizontal="right" vertical="center" wrapText="1" indent="1"/>
    </xf>
    <xf numFmtId="0" fontId="22" fillId="0" borderId="13" xfId="0" applyFont="1" applyBorder="1">
      <alignment horizontal="right" vertical="center" wrapText="1" indent="1"/>
    </xf>
    <xf numFmtId="0" fontId="22" fillId="0" borderId="14" xfId="0" applyFont="1" applyBorder="1">
      <alignment horizontal="right" vertical="center" wrapText="1"/>
    </xf>
    <xf numFmtId="0" fontId="22" fillId="0" borderId="15" xfId="0" applyFont="1" applyBorder="1">
      <alignment horizontal="right" vertical="center" wrapText="1"/>
    </xf>
    <xf numFmtId="49" fontId="91" fillId="46" borderId="0" xfId="0" applyFont="1" applyFill="1" applyNumberFormat="1">
      <alignment horizontal="center" vertical="center" textRotation="90" wrapText="1"/>
    </xf>
    <xf numFmtId="0" fontId="72" fillId="0" borderId="0" xfId="0" applyFont="1">
      <alignment horizontal="center" vertical="center" wrapText="1"/>
    </xf>
    <xf numFmtId="49" fontId="91" fillId="46" borderId="0" xfId="0" applyFont="1" applyFill="1" applyNumberFormat="1">
      <alignment horizontal="center" vertical="center" textRotation="90" wrapText="1"/>
    </xf>
    <xf numFmtId="0" fontId="47" fillId="0" borderId="0" xfId="0" applyFont="1">
      <alignment horizontal="center" vertical="center" wrapText="1"/>
    </xf>
    <xf numFmtId="0" fontId="46" fillId="0" borderId="0" xfId="0" applyFont="1">
      <alignment horizontal="center" vertical="top"/>
    </xf>
    <xf numFmtId="0" fontId="22" fillId="0" borderId="23" xfId="0" applyFont="1" applyBorder="1">
      <alignment horizontal="left" vertical="center" wrapText="1"/>
    </xf>
    <xf numFmtId="0" fontId="0" fillId="0" borderId="14" xfId="0" applyFont="1" applyBorder="1">
      <alignment horizontal="right" vertical="center" wrapText="1" indent="1"/>
    </xf>
    <xf numFmtId="0" fontId="0" fillId="0" borderId="15" xfId="0" applyFont="1" applyBorder="1">
      <alignment horizontal="right" vertical="center" wrapText="1" indent="1"/>
    </xf>
    <xf numFmtId="0" fontId="0" fillId="0" borderId="13" xfId="0" applyFont="1" applyBorder="1">
      <alignment horizontal="right" vertical="center" wrapText="1" indent="1"/>
    </xf>
    <xf numFmtId="49" fontId="47" fillId="0" borderId="17" xfId="0" applyFont="1" applyBorder="1" applyNumberFormat="1">
      <alignment horizontal="center" vertical="center" wrapText="1"/>
    </xf>
    <xf numFmtId="49" fontId="47" fillId="0" borderId="36" xfId="0" applyFont="1" applyBorder="1" applyNumberFormat="1">
      <alignment horizontal="center" vertical="center" wrapText="1"/>
    </xf>
    <xf numFmtId="49" fontId="47" fillId="0" borderId="23" xfId="0" applyFont="1" applyBorder="1" applyNumberFormat="1">
      <alignment horizontal="center" vertical="center" wrapText="1"/>
    </xf>
    <xf numFmtId="0" fontId="0" fillId="34" borderId="12" xfId="0" applyFont="1" applyFill="1" applyBorder="1">
      <alignment horizontal="left" vertical="center" wrapText="1" indent="1"/>
    </xf>
    <xf numFmtId="0" fontId="44" fillId="0" borderId="0" xfId="0" applyFont="1">
      <alignment horizontal="left" vertical="top" wrapText="1"/>
    </xf>
    <xf numFmtId="0" fontId="22" fillId="0" borderId="0" xfId="0" applyFont="1">
      <alignment horizontal="left" vertical="top" wrapText="1"/>
    </xf>
    <xf numFmtId="0" fontId="22" fillId="35" borderId="14" xfId="0" applyFont="1" applyFill="1" applyBorder="1">
      <alignment horizontal="center" vertical="center" wrapText="1"/>
    </xf>
    <xf numFmtId="0" fontId="22" fillId="35" borderId="15" xfId="0" applyFont="1" applyFill="1" applyBorder="1">
      <alignment horizontal="center" vertical="center" wrapText="1"/>
    </xf>
    <xf numFmtId="0" fontId="22" fillId="35" borderId="20" xfId="0" applyFont="1" applyFill="1" applyBorder="1">
      <alignment horizontal="center" vertical="center" wrapText="1"/>
    </xf>
    <xf numFmtId="0" fontId="22" fillId="35" borderId="12" xfId="0" applyFont="1" applyFill="1" applyBorder="1">
      <alignment horizontal="center" vertical="center"/>
    </xf>
    <xf numFmtId="0" fontId="47" fillId="0" borderId="15" xfId="0" applyFont="1" applyBorder="1">
      <alignment horizontal="right" vertical="center" wrapText="1" indent="1"/>
    </xf>
    <xf numFmtId="0" fontId="47" fillId="0" borderId="13" xfId="0" applyFont="1" applyBorder="1">
      <alignment horizontal="right" vertical="center" wrapText="1" indent="1"/>
    </xf>
    <xf numFmtId="49" fontId="22" fillId="57" borderId="0" xfId="0" applyFont="1" applyFill="1" applyNumberFormat="1">
      <alignment horizontal="center" vertical="center" textRotation="90" wrapText="1"/>
    </xf>
    <xf numFmtId="0" fontId="22" fillId="34" borderId="14" xfId="0" applyFont="1" applyFill="1" applyBorder="1">
      <alignment horizontal="left" vertical="top" wrapText="1"/>
    </xf>
    <xf numFmtId="0" fontId="22" fillId="34" borderId="13" xfId="0" applyFont="1" applyFill="1" applyBorder="1">
      <alignment horizontal="left" vertical="top" wrapText="1"/>
    </xf>
    <xf numFmtId="0" fontId="22" fillId="34" borderId="14" xfId="0" applyFont="1" applyFill="1" applyBorder="1">
      <alignment horizontal="left" vertical="top" wrapText="1" indent="1"/>
    </xf>
    <xf numFmtId="0" fontId="22" fillId="34" borderId="13" xfId="0" applyFont="1" applyFill="1" applyBorder="1">
      <alignment horizontal="left" vertical="top" wrapText="1" indent="1"/>
    </xf>
    <xf numFmtId="49" fontId="22" fillId="0" borderId="0" xfId="0" applyFont="1" applyNumberFormat="1">
      <alignment vertical="center" wrapText="1"/>
    </xf>
    <xf numFmtId="0" fontId="35" fillId="0" borderId="24" xfId="0" applyFont="1" applyBorder="1">
      <alignment horizontal="center" vertical="center" wrapText="1"/>
    </xf>
    <xf numFmtId="0" fontId="0" fillId="35" borderId="14" xfId="0" applyFont="1" applyFill="1" applyBorder="1">
      <alignment horizontal="center" vertical="center" wrapText="1"/>
    </xf>
    <xf numFmtId="0" fontId="0" fillId="35" borderId="15" xfId="0" applyFont="1" applyFill="1" applyBorder="1">
      <alignment horizontal="center" vertical="center" wrapText="1"/>
    </xf>
    <xf numFmtId="0" fontId="0" fillId="35" borderId="13" xfId="0" applyFont="1" applyFill="1" applyBorder="1">
      <alignment horizontal="center" vertical="center" wrapText="1"/>
    </xf>
    <xf numFmtId="49" fontId="0" fillId="0" borderId="12" xfId="0" applyFont="1" applyBorder="1" applyNumberFormat="1">
      <alignment horizontal="center" vertical="center" wrapText="1"/>
    </xf>
    <xf numFmtId="0" fontId="0" fillId="0" borderId="12" xfId="0" applyFont="1" applyBorder="1">
      <alignment horizontal="left" vertical="center" wrapText="1" indent="1"/>
    </xf>
    <xf numFmtId="49" fontId="22" fillId="0" borderId="12" xfId="0" applyFont="1" applyBorder="1" applyNumberFormat="1">
      <alignment horizontal="left" vertical="center" wrapText="1"/>
    </xf>
    <xf numFmtId="49" fontId="22" fillId="0" borderId="14" xfId="0" applyFont="1" applyBorder="1" applyNumberFormat="1">
      <alignment horizontal="center" vertical="center" wrapText="1"/>
    </xf>
    <xf numFmtId="49" fontId="47" fillId="0" borderId="12" xfId="0" applyFont="1" applyBorder="1" applyNumberFormat="1">
      <alignment horizontal="center" vertical="center" wrapText="1"/>
    </xf>
    <xf numFmtId="0" fontId="22" fillId="0" borderId="0" xfId="0" applyFont="1">
      <alignment horizontal="left" vertical="center" wrapText="1"/>
    </xf>
    <xf numFmtId="0" fontId="22" fillId="35" borderId="12" xfId="0" applyFont="1" applyFill="1" applyBorder="1">
      <alignment horizontal="center" vertical="center" wrapText="1"/>
    </xf>
    <xf numFmtId="0" fontId="22" fillId="35" borderId="37" xfId="0" applyFont="1" applyFill="1" applyBorder="1">
      <alignment horizontal="center" vertical="center" wrapText="1"/>
    </xf>
    <xf numFmtId="0" fontId="22" fillId="35" borderId="20" xfId="0" applyFont="1" applyFill="1" applyBorder="1">
      <alignment horizontal="center" vertical="center" wrapText="1"/>
    </xf>
    <xf numFmtId="0" fontId="22" fillId="35" borderId="22" xfId="0" applyFont="1" applyFill="1" applyBorder="1">
      <alignment horizontal="center" vertical="center" wrapText="1"/>
    </xf>
    <xf numFmtId="0" fontId="22" fillId="35" borderId="24" xfId="0" applyFont="1" applyFill="1" applyBorder="1">
      <alignment horizontal="center" vertical="center" wrapText="1"/>
    </xf>
    <xf numFmtId="0" fontId="22" fillId="35" borderId="30" xfId="0" applyFont="1" applyFill="1" applyBorder="1">
      <alignment horizontal="center" vertical="center" wrapText="1"/>
    </xf>
    <xf numFmtId="0" fontId="22" fillId="35" borderId="29" xfId="0" applyFont="1" applyFill="1" applyBorder="1">
      <alignment horizontal="center" vertical="center" wrapText="1"/>
    </xf>
    <xf numFmtId="0" fontId="22" fillId="0" borderId="60" xfId="0" applyFont="1" applyBorder="1">
      <alignment horizontal="center" vertical="center"/>
    </xf>
    <xf numFmtId="0" fontId="22" fillId="0" borderId="61" xfId="0" applyFont="1" applyBorder="1">
      <alignment horizontal="center" vertical="center"/>
    </xf>
    <xf numFmtId="0" fontId="22" fillId="0" borderId="67" xfId="0" applyFont="1" applyBorder="1">
      <alignment horizontal="center" vertical="center"/>
    </xf>
    <xf numFmtId="0" fontId="0" fillId="0" borderId="12" xfId="0" applyFont="1" applyBorder="1">
      <alignment horizontal="center" vertical="center" wrapText="1"/>
    </xf>
    <xf numFmtId="0" fontId="22" fillId="0" borderId="73" xfId="0" applyFont="1" applyBorder="1">
      <alignment horizontal="center" vertical="center"/>
    </xf>
    <xf numFmtId="0" fontId="22" fillId="0" borderId="43" xfId="0" applyFont="1" applyBorder="1">
      <alignment horizontal="center" vertical="center"/>
    </xf>
    <xf numFmtId="49" fontId="0" fillId="0" borderId="12" xfId="0" applyFont="1" applyBorder="1" applyNumberFormat="1">
      <alignment vertical="center" wrapText="1"/>
    </xf>
    <xf numFmtId="49" fontId="0" fillId="0" borderId="12" xfId="0" applyFont="1" applyBorder="1" applyNumberFormat="1">
      <alignment horizontal="left" vertical="center" wrapText="1"/>
    </xf>
    <xf numFmtId="49" fontId="0" fillId="0" borderId="17" xfId="0" applyFont="1" applyBorder="1" applyNumberFormat="1">
      <alignment horizontal="center" vertical="center" wrapText="1"/>
    </xf>
    <xf numFmtId="49" fontId="0" fillId="0" borderId="36" xfId="0" applyFont="1" applyBorder="1" applyNumberFormat="1">
      <alignment horizontal="center" vertical="center" wrapText="1"/>
    </xf>
    <xf numFmtId="49" fontId="0" fillId="0" borderId="23" xfId="0" applyFont="1" applyBorder="1" applyNumberFormat="1">
      <alignment horizontal="center" vertical="center" wrapText="1"/>
    </xf>
    <xf numFmtId="49" fontId="0" fillId="0" borderId="12" xfId="0" applyFont="1" applyBorder="1" applyNumberFormat="1">
      <alignment horizontal="center" vertical="center" wrapText="1"/>
    </xf>
    <xf numFmtId="0" fontId="0" fillId="34" borderId="12" xfId="0" applyFont="1" applyFill="1" applyBorder="1">
      <alignment horizontal="center" vertical="center" wrapText="1"/>
    </xf>
    <xf numFmtId="49" fontId="0" fillId="0" borderId="12" xfId="0" applyFont="1" applyBorder="1" applyNumberFormat="1">
      <alignment horizontal="center" vertical="center"/>
    </xf>
    <xf numFmtId="49" fontId="22" fillId="0" borderId="14" xfId="0" applyFont="1" applyBorder="1" applyNumberFormat="1">
      <alignment horizontal="center" vertical="center" wrapText="1"/>
    </xf>
    <xf numFmtId="49" fontId="22" fillId="0" borderId="15" xfId="0" applyFont="1" applyBorder="1" applyNumberFormat="1">
      <alignment horizontal="center" vertical="center" wrapText="1"/>
    </xf>
    <xf numFmtId="49" fontId="22" fillId="0" borderId="13" xfId="0" applyFont="1" applyBorder="1" applyNumberFormat="1">
      <alignment horizontal="center" vertical="center" wrapText="1"/>
    </xf>
    <xf numFmtId="0" fontId="22" fillId="0" borderId="20" xfId="0" applyFont="1" applyBorder="1">
      <alignment horizontal="left" vertical="top" wrapText="1"/>
    </xf>
    <xf numFmtId="0" fontId="22" fillId="35" borderId="13" xfId="0" applyFont="1" applyFill="1" applyBorder="1">
      <alignment horizontal="center" vertical="center" wrapText="1"/>
    </xf>
    <xf numFmtId="0" fontId="22" fillId="41" borderId="12" xfId="0" applyFont="1" applyFill="1" applyBorder="1">
      <alignment horizontal="center" vertical="center" wrapText="1"/>
    </xf>
    <xf numFmtId="0" fontId="22" fillId="35" borderId="29" xfId="0" applyFont="1" applyFill="1" applyBorder="1">
      <alignment horizontal="center" vertical="center" wrapText="1"/>
    </xf>
    <xf numFmtId="0" fontId="22" fillId="41" borderId="13" xfId="0" applyFont="1" applyFill="1" applyBorder="1">
      <alignment horizontal="center" vertical="center" wrapText="1"/>
    </xf>
    <xf numFmtId="49" fontId="22" fillId="35" borderId="12" xfId="0" applyFont="1" applyFill="1" applyBorder="1" applyNumberFormat="1">
      <alignment horizontal="center" vertical="center" wrapText="1"/>
    </xf>
    <xf numFmtId="49" fontId="22" fillId="41" borderId="12" xfId="0" applyFont="1" applyFill="1" applyBorder="1" applyNumberFormat="1">
      <alignment horizontal="center" vertical="center" wrapText="1"/>
    </xf>
    <xf numFmtId="49" fontId="46" fillId="47" borderId="14" xfId="0" applyFont="1" applyFill="1" applyBorder="1" applyNumberFormat="1">
      <alignment horizontal="center" vertical="center" wrapText="1"/>
    </xf>
    <xf numFmtId="49" fontId="46" fillId="47" borderId="15" xfId="0" applyFont="1" applyFill="1" applyBorder="1" applyNumberFormat="1">
      <alignment horizontal="center" vertical="center" wrapText="1"/>
    </xf>
    <xf numFmtId="49" fontId="46" fillId="47" borderId="13" xfId="0" applyFont="1" applyFill="1" applyBorder="1" applyNumberFormat="1">
      <alignment horizontal="center" vertical="center" wrapText="1"/>
    </xf>
    <xf numFmtId="49" fontId="46" fillId="50" borderId="14" xfId="0" applyFont="1" applyFill="1" applyBorder="1" applyNumberFormat="1">
      <alignment horizontal="center" vertical="center" wrapText="1"/>
    </xf>
    <xf numFmtId="49" fontId="46" fillId="50" borderId="15" xfId="0" applyFont="1" applyFill="1" applyBorder="1" applyNumberFormat="1">
      <alignment horizontal="center" vertical="center" wrapText="1"/>
    </xf>
    <xf numFmtId="49" fontId="46" fillId="50" borderId="13" xfId="0" applyFont="1" applyFill="1" applyBorder="1" applyNumberFormat="1">
      <alignment horizontal="center" vertical="center" wrapText="1"/>
    </xf>
    <xf numFmtId="49" fontId="22" fillId="51" borderId="14" xfId="0" applyFont="1" applyFill="1" applyBorder="1" applyNumberFormat="1">
      <alignment horizontal="center" vertical="center" wrapText="1"/>
    </xf>
    <xf numFmtId="49" fontId="22" fillId="51" borderId="15" xfId="0" applyFont="1" applyFill="1" applyBorder="1" applyNumberFormat="1">
      <alignment horizontal="center" vertical="center" wrapText="1"/>
    </xf>
    <xf numFmtId="49" fontId="22" fillId="41" borderId="19" xfId="0" applyFont="1" applyFill="1" applyBorder="1" applyNumberFormat="1">
      <alignment horizontal="center" vertical="center" wrapText="1"/>
    </xf>
    <xf numFmtId="49" fontId="22" fillId="41" borderId="0" xfId="0" applyFont="1" applyFill="1" applyNumberFormat="1">
      <alignment horizontal="center" vertical="center" wrapText="1"/>
    </xf>
    <xf numFmtId="49" fontId="22" fillId="41" borderId="27" xfId="0" applyFont="1" applyFill="1" applyBorder="1" applyNumberFormat="1">
      <alignment horizontal="center" vertical="center" wrapText="1"/>
    </xf>
    <xf numFmtId="0" fontId="22" fillId="49" borderId="14" xfId="0" applyFont="1" applyFill="1" applyBorder="1">
      <alignment horizontal="center" vertical="center" wrapText="1"/>
    </xf>
    <xf numFmtId="0" fontId="22" fillId="49" borderId="15" xfId="0" applyFont="1" applyFill="1" applyBorder="1">
      <alignment horizontal="center" vertical="center" wrapText="1"/>
    </xf>
    <xf numFmtId="0" fontId="22" fillId="49" borderId="13" xfId="0" applyFont="1" applyFill="1" applyBorder="1">
      <alignment horizontal="center" vertical="center" wrapText="1"/>
    </xf>
    <xf numFmtId="0" fontId="22" fillId="41" borderId="14" xfId="0" applyFont="1" applyFill="1" applyBorder="1">
      <alignment horizontal="center" vertical="center" wrapText="1"/>
    </xf>
    <xf numFmtId="0" fontId="22" fillId="0" borderId="20" xfId="0" applyFont="1" applyBorder="1">
      <alignment horizontal="left" vertical="top" wrapText="1" indent="1"/>
    </xf>
    <xf numFmtId="0" fontId="22" fillId="0" borderId="17" xfId="0" applyFont="1" applyBorder="1">
      <alignment horizontal="left" vertical="top" wrapText="1" indent="1"/>
    </xf>
    <xf numFmtId="0" fontId="22" fillId="0" borderId="37" xfId="0" applyFont="1" applyBorder="1">
      <alignment horizontal="left" vertical="top" wrapText="1" indent="1"/>
    </xf>
    <xf numFmtId="0" fontId="22" fillId="0" borderId="29" xfId="0" applyFont="1" applyBorder="1">
      <alignment horizontal="left" vertical="center" wrapText="1" indent="1"/>
    </xf>
    <xf numFmtId="0" fontId="22" fillId="0" borderId="23" xfId="0" applyFont="1" applyBorder="1">
      <alignment horizontal="left" vertical="center" wrapText="1" indent="1"/>
    </xf>
    <xf numFmtId="0" fontId="22" fillId="0" borderId="30" xfId="0" applyFont="1" applyBorder="1">
      <alignment horizontal="left" vertical="center" wrapText="1" indent="1"/>
    </xf>
    <xf numFmtId="0" fontId="0" fillId="0" borderId="12" xfId="0" applyFont="1" applyBorder="1">
      <alignment horizontal="left" vertical="center" wrapText="1"/>
    </xf>
    <xf numFmtId="0" fontId="0" fillId="0" borderId="12" xfId="0" applyFont="1" applyBorder="1">
      <alignment horizontal="left" vertical="center" wrapText="1"/>
    </xf>
    <xf numFmtId="0" fontId="38" fillId="35" borderId="24" xfId="0" applyFont="1" applyFill="1" applyBorder="1">
      <alignment horizontal="center" vertical="top" wrapText="1"/>
    </xf>
    <xf numFmtId="49" fontId="0" fillId="35" borderId="23" xfId="0" applyFont="1" applyFill="1" applyBorder="1" applyNumberFormat="1">
      <alignment horizontal="center" vertical="center" wrapText="1"/>
    </xf>
    <xf numFmtId="0" fontId="0" fillId="34" borderId="23" xfId="0" applyFont="1" applyFill="1" applyBorder="1">
      <alignment horizontal="left" vertical="center" wrapText="1" indent="1"/>
    </xf>
    <xf numFmtId="0" fontId="22" fillId="0" borderId="15" xfId="0" applyFont="1" applyBorder="1">
      <alignment horizontal="left" vertical="top" wrapText="1" indent="1"/>
    </xf>
    <xf numFmtId="0" fontId="38" fillId="35" borderId="0" xfId="0" applyFont="1" applyFill="1">
      <alignment horizontal="center" vertical="top" wrapText="1"/>
    </xf>
    <xf numFmtId="49" fontId="35" fillId="35" borderId="19" xfId="0" applyFont="1" applyFill="1" applyBorder="1" applyNumberFormat="1">
      <alignment horizontal="center" vertical="center" wrapText="1"/>
    </xf>
    <xf numFmtId="0" fontId="0" fillId="0" borderId="17" xfId="0" applyFont="1" applyBorder="1">
      <alignment horizontal="left" vertical="center" wrapText="1"/>
    </xf>
    <xf numFmtId="0" fontId="0" fillId="0" borderId="17" xfId="0" applyFont="1" applyBorder="1">
      <alignment horizontal="left" vertical="center" wrapText="1"/>
    </xf>
    <xf numFmtId="0" fontId="0" fillId="34" borderId="14" xfId="0" applyFont="1" applyFill="1" applyBorder="1">
      <alignment horizontal="left" vertical="center" wrapText="1" indent="1"/>
    </xf>
    <xf numFmtId="0" fontId="0" fillId="35" borderId="17" xfId="0" applyFont="1" applyFill="1" applyBorder="1">
      <alignment horizontal="left" vertical="top" wrapText="1"/>
    </xf>
    <xf numFmtId="0" fontId="0" fillId="35" borderId="36" xfId="0" applyFont="1" applyFill="1" applyBorder="1">
      <alignment horizontal="left" vertical="top" wrapText="1"/>
    </xf>
    <xf numFmtId="0" fontId="0" fillId="35" borderId="23" xfId="0" applyFont="1" applyFill="1" applyBorder="1">
      <alignment horizontal="left" vertical="top" wrapText="1"/>
    </xf>
    <xf numFmtId="4" fontId="22" fillId="0" borderId="17" xfId="0" applyFont="1" applyBorder="1" applyNumberFormat="1">
      <alignment horizontal="center" vertical="center" wrapText="1"/>
    </xf>
    <xf numFmtId="4" fontId="22" fillId="0" borderId="23" xfId="0" applyFont="1" applyBorder="1" applyNumberFormat="1">
      <alignment horizontal="center" vertical="center" wrapText="1"/>
    </xf>
    <xf numFmtId="4" fontId="22" fillId="0" borderId="36" xfId="0" applyFont="1" applyBorder="1" applyNumberFormat="1">
      <alignment horizontal="center" vertical="center" wrapText="1"/>
    </xf>
    <xf numFmtId="0" fontId="22" fillId="0" borderId="29" xfId="0" applyFont="1" applyBorder="1">
      <alignment horizontal="left" vertical="top" wrapText="1"/>
    </xf>
    <xf numFmtId="202" fontId="22" fillId="0" borderId="17" xfId="0" applyFont="1" applyBorder="1" applyNumberFormat="1">
      <alignment horizontal="center" vertical="center" wrapText="1"/>
    </xf>
    <xf numFmtId="202" fontId="22" fillId="0" borderId="23" xfId="0" applyFont="1" applyBorder="1" applyNumberFormat="1">
      <alignment horizontal="center" vertical="center" wrapText="1"/>
    </xf>
    <xf numFmtId="202" fontId="22" fillId="0" borderId="14" xfId="0" applyFont="1" applyBorder="1" applyNumberFormat="1">
      <alignment horizontal="center" vertical="center" wrapText="1"/>
    </xf>
    <xf numFmtId="202" fontId="22" fillId="0" borderId="15" xfId="0" applyFont="1" applyBorder="1" applyNumberFormat="1">
      <alignment horizontal="center" vertical="center" wrapText="1"/>
    </xf>
    <xf numFmtId="202" fontId="22" fillId="0" borderId="13" xfId="0" applyFont="1" applyBorder="1" applyNumberFormat="1">
      <alignment horizontal="center" vertical="center" wrapText="1"/>
    </xf>
    <xf numFmtId="14" fontId="22" fillId="40" borderId="12" xfId="0" applyFont="1" applyFill="1" applyBorder="1" applyNumberFormat="1">
      <alignment horizontal="left" vertical="center" wrapText="1"/>
    </xf>
    <xf numFmtId="49" fontId="22" fillId="40" borderId="14" xfId="0" applyFont="1" applyFill="1" applyBorder="1" applyNumberFormat="1">
      <alignment horizontal="left" vertical="center" wrapText="1"/>
    </xf>
    <xf numFmtId="49" fontId="22" fillId="40" borderId="12" xfId="0" applyFont="1" applyFill="1" applyBorder="1" applyNumberFormat="1">
      <alignment horizontal="left" vertical="center" wrapText="1"/>
    </xf>
    <xf numFmtId="0" fontId="22" fillId="34" borderId="29" xfId="0" applyFont="1" applyFill="1" applyBorder="1">
      <alignment horizontal="left" vertical="center" wrapText="1"/>
    </xf>
    <xf numFmtId="14" fontId="22" fillId="40" borderId="23" xfId="0" applyFont="1" applyFill="1" applyBorder="1" applyNumberFormat="1">
      <alignment horizontal="left" vertical="center" wrapText="1"/>
    </xf>
    <xf numFmtId="49" fontId="22" fillId="0" borderId="12" xfId="0" applyFont="1" applyBorder="1" applyNumberFormat="1">
      <alignment horizontal="left" vertical="top" wrapText="1"/>
    </xf>
    <xf numFmtId="49" fontId="127" fillId="0" borderId="12" xfId="0" applyFont="1" applyBorder="1" applyNumberFormat="1">
      <alignment horizontal="left" vertical="top" wrapText="1"/>
    </xf>
    <xf numFmtId="0" fontId="22" fillId="0" borderId="15" xfId="0" applyFont="1" applyBorder="1">
      <alignment horizontal="left" vertical="center" wrapText="1"/>
    </xf>
    <xf numFmtId="202" fontId="22" fillId="0" borderId="36" xfId="0" applyFont="1" applyBorder="1" applyNumberFormat="1">
      <alignment horizontal="center" vertical="center" wrapText="1"/>
    </xf>
    <xf numFmtId="202" fontId="22" fillId="0" borderId="12" xfId="0" applyFont="1" applyBorder="1" applyNumberFormat="1">
      <alignment horizontal="center" vertical="center" wrapText="1"/>
    </xf>
    <xf numFmtId="202" fontId="44" fillId="0" borderId="19" xfId="0" applyFont="1" applyBorder="1" applyNumberFormat="1">
      <alignment horizontal="center" vertical="center" wrapText="1"/>
    </xf>
    <xf numFmtId="49" fontId="22" fillId="40" borderId="30" xfId="0" applyFont="1" applyFill="1" applyBorder="1" applyNumberFormat="1">
      <alignment horizontal="left" vertical="center" wrapText="1"/>
    </xf>
    <xf numFmtId="49" fontId="22" fillId="40" borderId="23" xfId="0" applyFont="1" applyFill="1" applyBorder="1" applyNumberFormat="1">
      <alignment horizontal="left" vertical="center" wrapText="1"/>
    </xf>
    <xf numFmtId="49" fontId="22" fillId="0" borderId="0" xfId="0" applyFont="1" applyNumberFormat="1">
      <alignment horizontal="left" vertical="top" wrapText="1"/>
    </xf>
    <xf numFmtId="0" fontId="22" fillId="0" borderId="13" xfId="0" applyFont="1" applyBorder="1">
      <alignment horizontal="left" vertical="center" wrapText="1" indent="1"/>
    </xf>
    <xf numFmtId="0" fontId="22" fillId="0" borderId="14" xfId="0" applyFont="1" applyBorder="1">
      <alignment horizontal="left" vertical="center" wrapText="1" indent="1"/>
    </xf>
    <xf numFmtId="49" fontId="22" fillId="0" borderId="0" xfId="0" applyFont="1" applyNumberFormat="1">
      <alignment horizontal="left" vertical="top" wrapText="1"/>
    </xf>
    <xf numFmtId="49" fontId="0" fillId="0" borderId="15" xfId="0" applyFont="1" applyBorder="1" applyNumberFormat="1">
      <alignment horizontal="left" vertical="center" indent="1"/>
    </xf>
    <xf numFmtId="49" fontId="22" fillId="36" borderId="12" xfId="0" applyFont="1" applyFill="1" applyBorder="1" applyNumberFormat="1">
      <alignment horizontal="left" vertical="center" wrapText="1"/>
      <protection locked="0"/>
    </xf>
    <xf numFmtId="49" fontId="0" fillId="39" borderId="12" xfId="0" applyFont="1" applyFill="1" applyBorder="1" applyNumberFormat="1">
      <alignment horizontal="left" vertical="center" wrapText="1"/>
      <protection locked="0"/>
    </xf>
    <xf numFmtId="49" fontId="0" fillId="0" borderId="12" xfId="0" applyFont="1" applyBorder="1" applyNumberFormat="1">
      <alignment vertical="top"/>
    </xf>
    <xf numFmtId="0" fontId="0" fillId="40" borderId="12" xfId="0" applyFont="1" applyFill="1" applyBorder="1">
      <alignment horizontal="left" vertical="center" wrapText="1"/>
    </xf>
    <xf numFmtId="49" fontId="0" fillId="40" borderId="12" xfId="0" applyFont="1" applyFill="1" applyBorder="1" applyNumberFormat="1">
      <alignment horizontal="left" vertical="center" wrapText="1"/>
    </xf>
    <xf numFmtId="3" fontId="22" fillId="39" borderId="12" xfId="0" applyFont="1" applyFill="1" applyBorder="1" applyNumberFormat="1">
      <alignment horizontal="center" vertical="center" wrapText="1"/>
      <protection locked="0"/>
    </xf>
    <xf numFmtId="49" fontId="22" fillId="40" borderId="14" xfId="0" applyFont="1" applyFill="1" applyBorder="1" applyNumberFormat="1">
      <alignment horizontal="center" vertical="center" wrapText="1"/>
    </xf>
    <xf numFmtId="49" fontId="123" fillId="0" borderId="12" xfId="0" applyFont="1" applyBorder="1" applyNumberFormat="1">
      <alignment horizontal="center" vertical="center" wrapText="1"/>
    </xf>
    <xf numFmtId="0" fontId="44" fillId="0" borderId="13" xfId="0" applyFont="1" applyBorder="1">
      <alignment horizontal="center" vertical="center"/>
    </xf>
    <xf numFmtId="49" fontId="22" fillId="40" borderId="17" xfId="0" applyFont="1" applyFill="1" applyBorder="1" applyNumberFormat="1">
      <alignment horizontal="left" vertical="center" wrapText="1" indent="1"/>
    </xf>
    <xf numFmtId="49" fontId="22" fillId="40" borderId="36" xfId="0" applyFont="1" applyFill="1" applyBorder="1" applyNumberFormat="1">
      <alignment horizontal="left" vertical="center" wrapText="1" indent="1"/>
    </xf>
    <xf numFmtId="49" fontId="22" fillId="40" borderId="23" xfId="0" applyFont="1" applyFill="1" applyBorder="1" applyNumberFormat="1">
      <alignment horizontal="left" vertical="center" wrapText="1" indent="1"/>
    </xf>
    <xf numFmtId="49" fontId="22" fillId="0" borderId="12" xfId="0" applyFont="1" applyBorder="1" applyNumberFormat="1">
      <alignment horizontal="left" vertical="center" wrapText="1"/>
    </xf>
    <xf numFmtId="49" fontId="22" fillId="34" borderId="12" xfId="0" applyFont="1" applyFill="1" applyBorder="1" applyNumberFormat="1">
      <alignment horizontal="left" vertical="center" wrapText="1"/>
    </xf>
    <xf numFmtId="49" fontId="22" fillId="0" borderId="13" xfId="0" applyFont="1" applyBorder="1" applyNumberFormat="1">
      <alignment horizontal="center" vertical="center" wrapText="1"/>
    </xf>
    <xf numFmtId="49" fontId="22" fillId="40" borderId="13" xfId="0" applyFont="1" applyFill="1" applyBorder="1" applyNumberFormat="1">
      <alignment horizontal="left" vertical="center" wrapText="1"/>
    </xf>
    <xf numFmtId="49" fontId="22" fillId="39" borderId="12" xfId="0" applyFont="1" applyFill="1" applyBorder="1" applyNumberFormat="1">
      <alignment horizontal="left" vertical="center" wrapText="1"/>
      <protection locked="0"/>
    </xf>
    <xf numFmtId="0" fontId="39" fillId="37" borderId="15" xfId="0" applyFont="1" applyFill="1" applyBorder="1">
      <alignment horizontal="left" vertical="center"/>
    </xf>
    <xf numFmtId="0" fontId="39" fillId="37" borderId="13" xfId="0" applyFont="1" applyFill="1" applyBorder="1">
      <alignment horizontal="left" vertical="center"/>
    </xf>
    <xf numFmtId="0" fontId="39" fillId="37" borderId="19" xfId="0" applyFont="1" applyFill="1" applyBorder="1">
      <alignment horizontal="left" vertical="center"/>
    </xf>
    <xf numFmtId="0" fontId="39" fillId="37" borderId="20" xfId="0" applyFont="1" applyFill="1" applyBorder="1">
      <alignment horizontal="left" vertical="center"/>
    </xf>
    <xf numFmtId="49" fontId="22" fillId="39" borderId="17" xfId="0" applyFont="1" applyFill="1" applyBorder="1" applyNumberFormat="1">
      <alignment horizontal="left" vertical="center" wrapText="1"/>
      <protection locked="0"/>
    </xf>
    <xf numFmtId="49" fontId="22" fillId="0" borderId="36" xfId="0" applyFont="1" applyBorder="1" applyNumberFormat="1">
      <alignment horizontal="center" vertical="center"/>
    </xf>
    <xf numFmtId="0" fontId="22" fillId="40" borderId="17" xfId="0" applyFont="1" applyFill="1" applyBorder="1">
      <alignment horizontal="left" vertical="center" wrapText="1"/>
    </xf>
    <xf numFmtId="0" fontId="22" fillId="40" borderId="36" xfId="0" applyFont="1" applyFill="1" applyBorder="1">
      <alignment horizontal="left" vertical="center" wrapText="1"/>
    </xf>
    <xf numFmtId="49" fontId="22" fillId="40" borderId="17" xfId="0" applyFont="1" applyFill="1" applyBorder="1" applyNumberFormat="1">
      <alignment horizontal="left" vertical="center" wrapText="1"/>
    </xf>
    <xf numFmtId="0" fontId="22" fillId="0" borderId="24" xfId="0" applyFont="1" applyBorder="1">
      <alignment horizontal="center" vertical="center"/>
    </xf>
    <xf numFmtId="49" fontId="22" fillId="36" borderId="17" xfId="0" applyFont="1" applyFill="1" applyBorder="1" applyNumberFormat="1">
      <alignment horizontal="left" vertical="center" wrapText="1"/>
      <protection locked="0"/>
    </xf>
    <xf numFmtId="0" fontId="0" fillId="0" borderId="12" xfId="0" applyFont="1" applyBorder="1">
      <alignment horizontal="center" vertical="center"/>
    </xf>
    <xf numFmtId="49" fontId="0" fillId="0" borderId="12" xfId="0" applyFont="1" applyBorder="1" applyNumberFormat="1">
      <alignment horizontal="left" vertical="top"/>
    </xf>
    <xf numFmtId="0" fontId="22" fillId="40" borderId="12" xfId="0" applyFont="1" applyFill="1" applyBorder="1">
      <alignment horizontal="left" vertical="top" wrapText="1"/>
    </xf>
    <xf numFmtId="49" fontId="0" fillId="40" borderId="12" xfId="0" applyFont="1" applyFill="1" applyBorder="1" applyNumberFormat="1">
      <alignment horizontal="left" vertical="top"/>
    </xf>
    <xf numFmtId="49" fontId="0" fillId="36" borderId="12" xfId="0" applyFont="1" applyFill="1" applyBorder="1" applyNumberFormat="1">
      <alignment horizontal="left" vertical="top"/>
      <protection locked="0"/>
    </xf>
    <xf numFmtId="49" fontId="46" fillId="0" borderId="14" xfId="0" applyFont="1" applyBorder="1" applyNumberFormat="1">
      <alignment horizontal="center" vertical="center" wrapText="1"/>
    </xf>
    <xf numFmtId="49" fontId="39" fillId="37" borderId="51" xfId="0" applyFont="1" applyFill="1" applyBorder="1" applyNumberFormat="1">
      <alignment horizontal="left" vertical="center" indent="1"/>
    </xf>
    <xf numFmtId="49" fontId="22" fillId="34" borderId="12" xfId="0" applyFont="1" applyFill="1" applyBorder="1" applyNumberFormat="1">
      <alignment horizontal="center" vertical="center" wrapText="1"/>
    </xf>
    <xf numFmtId="49" fontId="22" fillId="34" borderId="74" xfId="0" applyFont="1" applyFill="1" applyBorder="1" applyNumberFormat="1">
      <alignment horizontal="center" vertical="center" wrapText="1"/>
    </xf>
    <xf numFmtId="3" fontId="46" fillId="0" borderId="12" xfId="0" applyFont="1" applyBorder="1" applyNumberFormat="1">
      <alignment horizontal="center" vertical="center" wrapText="1"/>
    </xf>
    <xf numFmtId="49" fontId="46" fillId="0" borderId="12" xfId="0" applyFont="1" applyBorder="1" applyNumberFormat="1">
      <alignment horizontal="left" vertical="center" wrapText="1"/>
    </xf>
    <xf numFmtId="49" fontId="46" fillId="0" borderId="13" xfId="0" applyFont="1" applyBorder="1" applyNumberFormat="1">
      <alignment horizontal="center" vertical="center" wrapText="1"/>
    </xf>
    <xf numFmtId="49" fontId="46" fillId="0" borderId="13" xfId="0" applyFont="1" applyBorder="1" applyNumberFormat="1">
      <alignment horizontal="left" vertical="center" wrapText="1"/>
    </xf>
    <xf numFmtId="49" fontId="46" fillId="0" borderId="12" xfId="0" applyFont="1" applyBorder="1" applyNumberFormat="1">
      <alignment horizontal="left" vertical="center" wrapText="1"/>
    </xf>
    <xf numFmtId="49" fontId="125" fillId="0" borderId="13" xfId="0" applyFont="1" applyBorder="1" applyNumberFormat="1">
      <alignment horizontal="center" vertical="center" wrapText="1"/>
    </xf>
    <xf numFmtId="0" fontId="94" fillId="0" borderId="12" xfId="0" applyFont="1" applyBorder="1">
      <alignment horizontal="center" vertical="center"/>
    </xf>
    <xf numFmtId="49" fontId="22" fillId="40" borderId="12" xfId="0" applyFont="1" applyFill="1" applyBorder="1" applyNumberFormat="1">
      <alignment horizontal="center" vertical="top" wrapText="1"/>
    </xf>
    <xf numFmtId="49" fontId="22" fillId="40" borderId="14" xfId="0" applyFont="1" applyFill="1" applyBorder="1" applyNumberFormat="1">
      <alignment horizontal="center" vertical="top" wrapText="1"/>
    </xf>
    <xf numFmtId="0" fontId="22" fillId="36" borderId="12" xfId="0" applyFont="1" applyFill="1" applyBorder="1">
      <alignment horizontal="left" vertical="top" wrapText="1"/>
      <protection locked="0"/>
    </xf>
    <xf numFmtId="201" fontId="0" fillId="36" borderId="12" xfId="0" applyFont="1" applyFill="1" applyBorder="1" applyNumberFormat="1">
      <alignment horizontal="center" vertical="top" wrapText="1"/>
      <protection locked="0"/>
    </xf>
    <xf numFmtId="49" fontId="0" fillId="36" borderId="12" xfId="0" applyFont="1" applyFill="1" applyBorder="1" applyNumberFormat="1">
      <alignment horizontal="center" vertical="top" wrapText="1"/>
      <protection locked="0"/>
    </xf>
    <xf numFmtId="49" fontId="22" fillId="39" borderId="12" xfId="0" applyFont="1" applyFill="1" applyBorder="1" applyNumberFormat="1">
      <alignment horizontal="left" vertical="top" wrapText="1"/>
      <protection locked="0"/>
    </xf>
    <xf numFmtId="49" fontId="0" fillId="34" borderId="12" xfId="0" applyFont="1" applyFill="1" applyBorder="1" applyNumberFormat="1">
      <alignment horizontal="center" vertical="top" wrapText="1"/>
    </xf>
    <xf numFmtId="0" fontId="22" fillId="34" borderId="12" xfId="0" applyFont="1" applyFill="1" applyBorder="1">
      <alignment horizontal="center" vertical="top" wrapText="1"/>
    </xf>
    <xf numFmtId="0" fontId="0" fillId="0" borderId="12" xfId="0" applyFont="1" applyBorder="1">
      <alignment horizontal="center" vertical="center"/>
    </xf>
    <xf numFmtId="0" fontId="0" fillId="0" borderId="37" xfId="0" applyFont="1" applyBorder="1">
      <alignment horizontal="center" vertical="center"/>
    </xf>
    <xf numFmtId="0" fontId="0" fillId="0" borderId="22" xfId="0" applyFont="1" applyBorder="1">
      <alignment horizontal="center" vertical="center"/>
    </xf>
    <xf numFmtId="49" fontId="0" fillId="0" borderId="0" xfId="0" applyFont="1" applyNumberFormat="1">
      <alignment horizontal="left" vertical="top"/>
    </xf>
    <xf numFmtId="14" fontId="81" fillId="0" borderId="17" xfId="0" applyFont="1" applyBorder="1" applyNumberFormat="1">
      <alignment horizontal="center" vertical="center" wrapText="1"/>
    </xf>
    <xf numFmtId="14" fontId="81" fillId="0" borderId="36" xfId="0" applyFont="1" applyBorder="1" applyNumberFormat="1">
      <alignment horizontal="center" vertical="center" wrapText="1"/>
    </xf>
    <xf numFmtId="0" fontId="75" fillId="0" borderId="12" xfId="0" applyFont="1" applyBorder="1">
      <alignment horizontal="left" vertical="center" wrapText="1" indent="1"/>
    </xf>
    <xf numFmtId="0" fontId="75" fillId="0" borderId="12" xfId="0" applyFont="1" applyBorder="1">
      <alignment horizontal="left" vertical="top" indent="1"/>
    </xf>
    <xf numFmtId="0" fontId="35" fillId="0" borderId="12" xfId="0" applyFont="1" applyBorder="1">
      <alignment horizontal="center" vertical="center" wrapText="1"/>
    </xf>
    <xf numFmtId="0" fontId="22" fillId="40" borderId="12" xfId="0" applyFont="1" applyFill="1" applyBorder="1">
      <alignment horizontal="left" vertical="center" wrapText="1" indent="1"/>
    </xf>
    <xf numFmtId="49" fontId="0" fillId="0" borderId="19" xfId="0" applyFont="1" applyBorder="1" applyNumberFormat="1">
      <alignment horizontal="left" vertical="center" wrapText="1"/>
    </xf>
    <xf numFmtId="49" fontId="0" fillId="0" borderId="0" xfId="0" applyFont="1" applyNumberFormat="1">
      <alignment horizontal="left" vertical="center" wrapText="1"/>
    </xf>
    <xf numFmtId="0" fontId="0" fillId="0" borderId="19" xfId="0" applyFont="1" applyBorder="1">
      <alignment horizontal="left" vertical="center" wrapText="1"/>
    </xf>
    <xf numFmtId="0" fontId="0" fillId="0" borderId="0" xfId="0" applyFont="1">
      <alignment horizontal="left" vertical="center" wrapText="1"/>
    </xf>
    <xf numFmtId="0" fontId="0" fillId="0" borderId="19" xfId="0" applyFont="1" applyBorder="1">
      <alignment horizontal="center" vertical="center"/>
    </xf>
    <xf numFmtId="0" fontId="0" fillId="0" borderId="0" xfId="0" applyFont="1">
      <alignment horizontal="center" vertical="center"/>
    </xf>
    <xf numFmtId="0" fontId="0" fillId="39" borderId="12" xfId="0" applyFont="1" applyFill="1" applyBorder="1">
      <alignment horizontal="left" vertical="center" wrapText="1"/>
      <protection locked="0"/>
    </xf>
    <xf numFmtId="49" fontId="0" fillId="39" borderId="14" xfId="0" applyFont="1" applyFill="1" applyBorder="1" applyNumberFormat="1">
      <alignment horizontal="left" vertical="center" wrapText="1"/>
      <protection locked="0"/>
    </xf>
    <xf numFmtId="49" fontId="0" fillId="39" borderId="12" xfId="0" applyFont="1" applyFill="1" applyBorder="1" applyNumberFormat="1">
      <alignment horizontal="left" vertical="center" wrapText="1"/>
      <protection locked="0"/>
    </xf>
    <xf numFmtId="49" fontId="36" fillId="0" borderId="17" xfId="0" applyFont="1" applyBorder="1" applyNumberFormat="1">
      <alignment horizontal="center" vertical="top" wrapText="1"/>
    </xf>
    <xf numFmtId="49" fontId="22" fillId="0" borderId="36" xfId="0" applyFont="1" applyBorder="1" applyNumberFormat="1">
      <alignment horizontal="center" vertical="top" wrapText="1"/>
    </xf>
    <xf numFmtId="49" fontId="22" fillId="0" borderId="23" xfId="0" applyFont="1" applyBorder="1" applyNumberFormat="1">
      <alignment horizontal="center" vertical="top" wrapText="1"/>
    </xf>
    <xf numFmtId="49" fontId="22" fillId="39" borderId="14" xfId="0" applyFont="1" applyFill="1" applyBorder="1" applyNumberFormat="1">
      <alignment horizontal="left" vertical="center" wrapText="1" indent="1"/>
      <protection locked="0"/>
    </xf>
    <xf numFmtId="49" fontId="22" fillId="39" borderId="12" xfId="0" applyFont="1" applyFill="1" applyBorder="1" applyNumberFormat="1">
      <alignment horizontal="left" vertical="center" wrapText="1" indent="1"/>
      <protection locked="0"/>
    </xf>
    <xf numFmtId="0" fontId="0" fillId="0" borderId="12" xfId="0" applyFont="1" applyBorder="1">
      <alignment horizontal="center" vertical="center" wrapText="1"/>
    </xf>
    <xf numFmtId="49" fontId="22" fillId="0" borderId="17" xfId="0" applyFont="1" applyBorder="1" applyNumberFormat="1">
      <alignment horizontal="center" vertical="center" wrapText="1"/>
    </xf>
    <xf numFmtId="49" fontId="22" fillId="0" borderId="36" xfId="0" applyFont="1" applyBorder="1" applyNumberFormat="1">
      <alignment horizontal="center" vertical="center" wrapText="1"/>
    </xf>
    <xf numFmtId="49" fontId="22" fillId="0" borderId="23" xfId="0" applyFont="1" applyBorder="1" applyNumberFormat="1">
      <alignment horizontal="center" vertical="center" wrapText="1"/>
    </xf>
    <xf numFmtId="49" fontId="22" fillId="0" borderId="12" xfId="0" applyFont="1" applyBorder="1" applyNumberFormat="1">
      <alignment horizontal="center" vertical="top" wrapText="1"/>
    </xf>
    <xf numFmtId="0" fontId="0" fillId="34" borderId="12" xfId="0" applyFont="1" applyFill="1" applyBorder="1">
      <alignment horizontal="left" vertical="top" wrapText="1" indent="1"/>
    </xf>
    <xf numFmtId="49" fontId="22" fillId="40" borderId="17" xfId="0" applyFont="1" applyFill="1" applyBorder="1" applyNumberFormat="1">
      <alignment horizontal="center" vertical="top" wrapText="1"/>
    </xf>
    <xf numFmtId="49" fontId="22" fillId="40" borderId="23" xfId="0" applyFont="1" applyFill="1" applyBorder="1" applyNumberFormat="1">
      <alignment horizontal="center" vertical="top" wrapText="1"/>
    </xf>
    <xf numFmtId="201" fontId="0" fillId="39" borderId="12" xfId="0" applyFont="1" applyFill="1" applyBorder="1" applyNumberFormat="1">
      <alignment horizontal="center" vertical="top" wrapText="1"/>
      <protection locked="0"/>
    </xf>
    <xf numFmtId="49" fontId="0" fillId="39" borderId="12" xfId="0" applyFont="1" applyFill="1" applyBorder="1" applyNumberFormat="1">
      <alignment horizontal="center" vertical="top" wrapText="1"/>
      <protection locked="0"/>
    </xf>
    <xf numFmtId="49" fontId="22" fillId="40" borderId="12" xfId="0" applyFont="1" applyFill="1" applyBorder="1" applyNumberFormat="1">
      <alignment horizontal="left" vertical="top" wrapText="1"/>
    </xf>
    <xf numFmtId="49" fontId="46" fillId="0" borderId="17" xfId="0" applyFont="1" applyBorder="1" applyNumberFormat="1">
      <alignment horizontal="left" vertical="center" wrapText="1" indent="1"/>
    </xf>
    <xf numFmtId="49" fontId="46" fillId="0" borderId="36" xfId="0" applyFont="1" applyBorder="1" applyNumberFormat="1">
      <alignment horizontal="left" vertical="center" wrapText="1" indent="1"/>
    </xf>
    <xf numFmtId="49" fontId="46" fillId="0" borderId="23" xfId="0" applyFont="1" applyBorder="1" applyNumberFormat="1">
      <alignment horizontal="left" vertical="center" wrapText="1" indent="1"/>
    </xf>
    <xf numFmtId="0" fontId="44" fillId="0" borderId="12" xfId="0" applyFont="1" applyBorder="1">
      <alignment horizontal="center" vertical="center"/>
    </xf>
    <xf numFmtId="49" fontId="95" fillId="0" borderId="12" xfId="0" applyFont="1" applyBorder="1" applyNumberFormat="1">
      <alignment horizontal="center" vertical="top" wrapText="1"/>
    </xf>
    <xf numFmtId="0" fontId="95" fillId="41" borderId="12" xfId="0" applyFont="1" applyFill="1" applyBorder="1">
      <alignment horizontal="center" vertical="center" wrapText="1"/>
    </xf>
    <xf numFmtId="49" fontId="95" fillId="0" borderId="37" xfId="0" applyFont="1" applyBorder="1" applyNumberFormat="1">
      <alignment horizontal="center" vertical="top" wrapText="1"/>
    </xf>
    <xf numFmtId="49" fontId="95" fillId="0" borderId="30" xfId="0" applyFont="1" applyBorder="1" applyNumberFormat="1">
      <alignment horizontal="center" vertical="top" wrapText="1"/>
    </xf>
    <xf numFmtId="49" fontId="95" fillId="0" borderId="14" xfId="0" applyFont="1" applyBorder="1" applyNumberFormat="1">
      <alignment horizontal="center" vertical="top" wrapText="1"/>
    </xf>
    <xf numFmtId="49" fontId="95" fillId="0" borderId="15" xfId="0" applyFont="1" applyBorder="1" applyNumberFormat="1">
      <alignment horizontal="center" vertical="top" wrapText="1"/>
    </xf>
    <xf numFmtId="49" fontId="95" fillId="0" borderId="13" xfId="0" applyFont="1" applyBorder="1" applyNumberFormat="1">
      <alignment horizontal="center" vertical="top" wrapText="1"/>
    </xf>
    <xf numFmtId="49" fontId="95" fillId="0" borderId="17" xfId="0" applyFont="1" applyBorder="1" applyNumberFormat="1">
      <alignment horizontal="center" vertical="top" wrapText="1"/>
    </xf>
    <xf numFmtId="49" fontId="95" fillId="0" borderId="36" xfId="0" applyFont="1" applyBorder="1" applyNumberFormat="1">
      <alignment horizontal="center" vertical="top" wrapText="1"/>
    </xf>
    <xf numFmtId="49" fontId="95" fillId="0" borderId="23" xfId="0" applyFont="1" applyBorder="1" applyNumberFormat="1">
      <alignment horizontal="center" vertical="top" wrapText="1"/>
    </xf>
    <xf numFmtId="201" fontId="0" fillId="39" borderId="12" xfId="0" applyFont="1" applyFill="1" applyBorder="1" applyNumberFormat="1">
      <alignment horizontal="center" vertical="center" wrapText="1"/>
      <protection locked="0"/>
    </xf>
    <xf numFmtId="0" fontId="45" fillId="0" borderId="19" xfId="0" applyFont="1" applyBorder="1">
      <alignment horizontal="left" vertical="center" wrapText="1" indent="1"/>
    </xf>
    <xf numFmtId="0" fontId="45" fillId="0" borderId="27" xfId="0" applyFont="1" applyBorder="1">
      <alignment horizontal="left" vertical="center" wrapText="1" indent="1"/>
    </xf>
    <xf numFmtId="0" fontId="22" fillId="0" borderId="0" xfId="0" applyFont="1">
      <alignment horizontal="right" vertical="center" wrapText="1"/>
    </xf>
    <xf numFmtId="4" fontId="22" fillId="34" borderId="12" xfId="0" applyFont="1" applyFill="1" applyBorder="1" applyNumberFormat="1">
      <alignment horizontal="left" vertical="center" wrapText="1"/>
    </xf>
    <xf numFmtId="0" fontId="46" fillId="0" borderId="0" xfId="0" applyFont="1">
      <alignment horizontal="center" vertical="center" wrapText="1"/>
    </xf>
    <xf numFmtId="49" fontId="0" fillId="0" borderId="12" xfId="0" applyFont="1" applyBorder="1" applyNumberFormat="1">
      <alignment horizontal="center" vertical="top"/>
    </xf>
    <xf numFmtId="49" fontId="0" fillId="0" borderId="14" xfId="0" applyFont="1" applyBorder="1" applyNumberFormat="1">
      <alignment horizontal="center" vertical="top"/>
    </xf>
    <xf numFmtId="0" fontId="46" fillId="0" borderId="17" xfId="0" applyFont="1" applyBorder="1">
      <alignment horizontal="center" vertical="center" wrapText="1"/>
    </xf>
    <xf numFmtId="0" fontId="22" fillId="0" borderId="19" xfId="0" applyFont="1" applyBorder="1">
      <alignment horizontal="center" vertical="center" wrapText="1"/>
    </xf>
    <xf numFmtId="0" fontId="22" fillId="0" borderId="27" xfId="0" applyFont="1" applyBorder="1">
      <alignment horizontal="center" vertical="center" wrapText="1"/>
    </xf>
    <xf numFmtId="49" fontId="0" fillId="0" borderId="15" xfId="0" applyFont="1" applyBorder="1" applyNumberFormat="1">
      <alignment horizontal="left" vertical="center" indent="1"/>
    </xf>
    <xf numFmtId="49" fontId="0" fillId="0" borderId="25" xfId="0" applyFont="1" applyBorder="1" applyNumberFormat="1">
      <alignment horizontal="center" vertical="center"/>
    </xf>
    <xf numFmtId="49" fontId="0" fillId="0" borderId="12" xfId="61" applyFont="1" applyBorder="1" applyNumberFormat="1">
      <alignment vertical="top"/>
    </xf>
    <xf numFmtId="49" fontId="0" fillId="0" borderId="14" xfId="61" applyFont="1" applyBorder="1" applyNumberFormat="1">
      <alignment vertical="top"/>
    </xf>
    <xf numFmtId="49" fontId="0" fillId="0" borderId="12" xfId="61" applyFont="1" applyBorder="1" applyNumberFormat="1">
      <alignment horizontal="center" vertical="top"/>
    </xf>
    <xf numFmtId="49" fontId="0" fillId="0" borderId="14" xfId="61" applyFont="1" applyBorder="1" applyNumberFormat="1">
      <alignment horizontal="center" vertical="top"/>
    </xf>
    <xf numFmtId="49" fontId="0" fillId="43" borderId="17" xfId="61" applyFont="1" applyFill="1" applyBorder="1" applyNumberFormat="1">
      <alignment vertical="top"/>
    </xf>
    <xf numFmtId="49" fontId="0" fillId="44" borderId="12" xfId="61" applyFont="1" applyFill="1" applyBorder="1" applyNumberFormat="1">
      <alignment vertical="top"/>
    </xf>
    <xf numFmtId="49" fontId="0" fillId="0" borderId="15" xfId="61" applyFont="1" applyBorder="1" applyNumberFormat="1">
      <alignment horizontal="center" vertical="top"/>
    </xf>
    <xf numFmtId="49" fontId="0" fillId="3" borderId="12" xfId="61" applyFont="1" applyFill="1" applyBorder="1" applyNumberFormat="1">
      <alignment vertical="top"/>
    </xf>
    <xf numFmtId="49" fontId="0" fillId="45" borderId="12" xfId="61" applyFont="1" applyFill="1" applyBorder="1" applyNumberFormat="1">
      <alignment vertical="top"/>
    </xf>
    <xf numFmtId="49" fontId="0" fillId="16" borderId="17" xfId="61" applyFont="1" applyFill="1" applyBorder="1" applyNumberFormat="1">
      <alignment vertical="top"/>
    </xf>
    <xf numFmtId="49" fontId="0" fillId="5" borderId="14" xfId="61" applyFont="1" applyFill="1" applyBorder="1" applyNumberFormat="1">
      <alignment vertical="top"/>
    </xf>
    <xf numFmtId="49" fontId="0" fillId="5" borderId="12" xfId="61" applyFont="1" applyFill="1" applyBorder="1" applyNumberFormat="1">
      <alignment vertical="top"/>
    </xf>
    <xf numFmtId="49" fontId="0" fillId="16" borderId="12" xfId="61" applyFont="1" applyFill="1" applyBorder="1" applyNumberFormat="1">
      <alignment vertical="top"/>
    </xf>
    <xf numFmtId="0" fontId="29" fillId="0" borderId="0" xfId="0" applyFont="1"/>
    <xf numFmtId="0" fontId="22" fillId="35" borderId="17" xfId="0" applyFont="1" applyFill="1" applyBorder="1">
      <alignment horizontal="left" vertical="center" wrapText="1" indent="1"/>
    </xf>
    <xf numFmtId="0" fontId="22" fillId="35" borderId="23" xfId="0" applyFont="1" applyFill="1" applyBorder="1">
      <alignment horizontal="left" vertical="center" wrapText="1" indent="1"/>
    </xf>
    <xf numFmtId="49" fontId="0" fillId="0" borderId="12" xfId="0" applyFont="1" applyBorder="1" applyNumberFormat="1">
      <alignment horizontal="left" vertical="center" wrapText="1"/>
    </xf>
    <xf numFmtId="201" fontId="0" fillId="0" borderId="12" xfId="0" applyFont="1" applyBorder="1" applyNumberFormat="1">
      <alignment horizontal="left" vertical="center" wrapText="1" indent="1"/>
    </xf>
    <xf numFmtId="0" fontId="46" fillId="37" borderId="13" xfId="0" applyFont="1" applyFill="1" applyBorder="1">
      <alignment vertical="center" wrapText="1"/>
    </xf>
    <xf numFmtId="0" fontId="46" fillId="37" borderId="13" xfId="0" applyFont="1" applyFill="1" applyBorder="1">
      <alignment vertical="center" wrapText="1"/>
    </xf>
    <xf numFmtId="0" fontId="46" fillId="37" borderId="13" xfId="0" applyFont="1" applyFill="1" applyBorder="1">
      <alignment vertical="center" wrapText="1"/>
    </xf>
    <xf numFmtId="0" fontId="46" fillId="37" borderId="13" xfId="0" applyFont="1" applyFill="1" applyBorder="1">
      <alignment vertical="center" wrapText="1"/>
    </xf>
    <xf numFmtId="0" fontId="46" fillId="37" borderId="13" xfId="0" applyFont="1" applyFill="1" applyBorder="1">
      <alignment vertical="center" wrapText="1"/>
    </xf>
    <xf numFmtId="0" fontId="46" fillId="37" borderId="13" xfId="0" applyFont="1" applyFill="1" applyBorder="1">
      <alignment vertical="center" wrapText="1"/>
    </xf>
    <xf numFmtId="0" fontId="46" fillId="37" borderId="15" xfId="0" applyFont="1" applyFill="1" applyBorder="1">
      <alignment vertical="center" wrapText="1"/>
    </xf>
    <xf numFmtId="0" fontId="46" fillId="37" borderId="13" xfId="0" applyFont="1" applyFill="1" applyBorder="1">
      <alignment vertical="center" wrapText="1"/>
    </xf>
    <xf numFmtId="0" fontId="46" fillId="37" borderId="13" xfId="0" applyFont="1" applyFill="1" applyBorder="1">
      <alignment vertical="center" wrapText="1"/>
    </xf>
    <xf numFmtId="49" fontId="22" fillId="35" borderId="14" xfId="0" applyFont="1" applyFill="1" applyBorder="1" applyNumberFormat="1">
      <alignment horizontal="left" vertical="center" wrapText="1"/>
    </xf>
    <xf numFmtId="49" fontId="53" fillId="35" borderId="12" xfId="0" applyFont="1" applyFill="1" applyBorder="1" applyNumberFormat="1">
      <alignment horizontal="left" vertical="center" wrapText="1"/>
    </xf>
    <xf numFmtId="49" fontId="22" fillId="35" borderId="14" xfId="0" applyFont="1" applyFill="1" applyBorder="1" applyNumberFormat="1">
      <alignment horizontal="left" vertical="center" wrapText="1"/>
    </xf>
    <xf numFmtId="49" fontId="53" fillId="35" borderId="12" xfId="0" applyFont="1" applyFill="1" applyBorder="1" applyNumberFormat="1">
      <alignment horizontal="left" vertical="center" wrapText="1"/>
    </xf>
    <xf numFmtId="201" fontId="0" fillId="35" borderId="12" xfId="0" applyFont="1" applyFill="1" applyBorder="1" applyNumberFormat="1">
      <alignment horizontal="left" vertical="center" wrapText="1" indent="1"/>
    </xf>
    <xf numFmtId="201" fontId="0" fillId="35" borderId="12" xfId="0" applyFont="1" applyFill="1" applyBorder="1" applyNumberFormat="1">
      <alignment horizontal="left" vertical="center" wrapText="1" indent="1"/>
    </xf>
    <xf numFmtId="0" fontId="22" fillId="37" borderId="15" xfId="0" applyFont="1" applyFill="1" applyBorder="1">
      <alignment vertical="center" wrapText="1"/>
    </xf>
    <xf numFmtId="0" fontId="22" fillId="37" borderId="15" xfId="0" applyFont="1" applyFill="1" applyBorder="1">
      <alignment vertical="center" wrapText="1"/>
    </xf>
    <xf numFmtId="0" fontId="22" fillId="37" borderId="19" xfId="0" applyFont="1" applyFill="1" applyBorder="1">
      <alignment vertical="center" wrapText="1"/>
    </xf>
    <xf numFmtId="0" fontId="22" fillId="37" borderId="15" xfId="0" applyFont="1" applyFill="1" applyBorder="1">
      <alignment vertical="center" wrapText="1"/>
    </xf>
    <xf numFmtId="0" fontId="22" fillId="37" borderId="19" xfId="0" applyFont="1" applyFill="1" applyBorder="1">
      <alignment vertical="center" wrapText="1"/>
    </xf>
    <xf numFmtId="0" fontId="22" fillId="37" borderId="19" xfId="0" applyFont="1" applyFill="1" applyBorder="1">
      <alignment vertical="center" wrapText="1"/>
    </xf>
    <xf numFmtId="0" fontId="22" fillId="37" borderId="15" xfId="0" applyFont="1" applyFill="1" applyBorder="1">
      <alignment vertical="center" wrapText="1"/>
    </xf>
    <xf numFmtId="0" fontId="22" fillId="37" borderId="27" xfId="0" applyFont="1" applyFill="1" applyBorder="1">
      <alignment vertical="center" wrapText="1"/>
    </xf>
    <xf numFmtId="49" fontId="22" fillId="36" borderId="14" xfId="0" applyFont="1" applyFill="1" applyBorder="1" applyNumberFormat="1">
      <alignment horizontal="left" vertical="center" wrapText="1"/>
      <protection locked="0"/>
    </xf>
    <xf numFmtId="0" fontId="22" fillId="37" borderId="15" xfId="0" applyFont="1" applyFill="1" applyBorder="1">
      <alignment vertical="center" wrapText="1"/>
    </xf>
    <xf numFmtId="0" fontId="29" fillId="0" borderId="0" xfId="62" applyFont="1"/>
  </cellXfs>
  <cellStyles count="79">
    <cellStyle name="Normal" xfId="0" builtinId="0"/>
    <cellStyle name="20% - Accent1" xfId="1" builtinId="30"/>
    <cellStyle name="20% - Accent2" xfId="2" builtinId="34"/>
    <cellStyle name="20% - Accent3" xfId="3" builtinId="38"/>
    <cellStyle name="20% - Accent4" xfId="4" builtinId="42"/>
    <cellStyle name="20% - Accent5" xfId="5" builtinId="46"/>
    <cellStyle name="20% - Accent6" xfId="6" builtinId="50"/>
    <cellStyle name="40% - Accent1" xfId="7" builtinId="31"/>
    <cellStyle name="40% - Accent2" xfId="8" builtinId="35"/>
    <cellStyle name="40% - Accent3" xfId="9" builtinId="39"/>
    <cellStyle name="40% - Accent4" xfId="10" builtinId="43"/>
    <cellStyle name="40% - Accent5" xfId="11" builtinId="47"/>
    <cellStyle name="40% - Accent6" xfId="12" builtinId="51"/>
    <cellStyle name="60% - Accent1" xfId="13" builtinId="32"/>
    <cellStyle name="60% - Accent2" xfId="14" builtinId="36"/>
    <cellStyle name="60% - Accent3" xfId="15" builtinId="40"/>
    <cellStyle name="60% - Accent4" xfId="16" builtinId="44"/>
    <cellStyle name="60% - Accent5" xfId="17" builtinId="48"/>
    <cellStyle name="60% - Accent6" xfId="18" builtinId="52"/>
    <cellStyle name="Accent1" xfId="19" builtinId="29"/>
    <cellStyle name="Accent2" xfId="20" builtinId="33"/>
    <cellStyle name="Accent3" xfId="21" builtinId="37"/>
    <cellStyle name="Accent4" xfId="22" builtinId="41"/>
    <cellStyle name="Accent5" xfId="23" builtinId="45"/>
    <cellStyle name="Accent6" xfId="24" builtinId="49"/>
    <cellStyle name="Bad" xfId="25" builtinId="27"/>
    <cellStyle name="Calculation" xfId="26" builtinId="22"/>
    <cellStyle name="Check Cell" xfId="27" builtinId="23"/>
    <cellStyle name="Comma" xfId="28" builtinId="3"/>
    <cellStyle name="Comma [0]" xfId="29" builtinId="6"/>
    <cellStyle name="Currency" xfId="30" builtinId="4"/>
    <cellStyle name="Currency [0]" xfId="31" builtinId="7"/>
    <cellStyle name="Explanatory Text" xfId="32" builtinId="53"/>
    <cellStyle name="Good" xfId="33" builtinId="26"/>
    <cellStyle name="Heading 1" xfId="34" builtinId="16"/>
    <cellStyle name="Heading 2" xfId="35" builtinId="17"/>
    <cellStyle name="Heading 3" xfId="36" builtinId="18"/>
    <cellStyle name="Heading 4" xfId="37" builtinId="19"/>
    <cellStyle name="Input" xfId="38" builtinId="20"/>
    <cellStyle name="Linked Cell" xfId="39" builtinId="24"/>
    <cellStyle name="Neutral" xfId="40" builtinId="28"/>
    <cellStyle name="normal" xfId="41"/>
    <cellStyle name="Note" xfId="42" builtinId="10"/>
    <cellStyle name="Output" xfId="43" builtinId="21"/>
    <cellStyle name="Percent" xfId="44" builtinId="5"/>
    <cellStyle name="Title" xfId="45" builtinId="15"/>
    <cellStyle name="Total" xfId="46" builtinId="25"/>
    <cellStyle name="Warning Text" xfId="47" builtinId="11"/>
    <cellStyle name=" 1" xfId="48"/>
    <cellStyle name=" 1 2" xfId="49"/>
    <cellStyle name=" 1_Stage1" xfId="48"/>
    <cellStyle name="_Model_RAB Мой_PR.PROG.WARM.NOTCOMBI.2012.2.16_v1.4(04.04.11) " xfId="50"/>
    <cellStyle name="_Model_RAB Мой_Книга2_PR.PROG.WARM.NOTCOMBI.2012.2.16_v1.4(04.04.11) " xfId="50"/>
    <cellStyle name="_Model_RAB_MRSK_svod_PR.PROG.WARM.NOTCOMBI.2012.2.16_v1.4(04.04.11) " xfId="50"/>
    <cellStyle name="_Model_RAB_MRSK_svod_Книга2_PR.PROG.WARM.NOTCOMBI.2012.2.16_v1.4(04.04.11) " xfId="50"/>
    <cellStyle name="_МОДЕЛЬ_1 (2)_PR.PROG.WARM.NOTCOMBI.2012.2.16_v1.4(04.04.11) " xfId="50"/>
    <cellStyle name="_МОДЕЛЬ_1 (2)_Книга2_PR.PROG.WARM.NOTCOMBI.2012.2.16_v1.4(04.04.11) " xfId="50"/>
    <cellStyle name="_пр 5 тариф RAB_PR.PROG.WARM.NOTCOMBI.2012.2.16_v1.4(04.04.11) " xfId="50"/>
    <cellStyle name="_пр 5 тариф RAB_Книга2_PR.PROG.WARM.NOTCOMBI.2012.2.16_v1.4(04.04.11) " xfId="50"/>
    <cellStyle name="_Расчет RAB_22072008_PR.PROG.WARM.NOTCOMBI.2012.2.16_v1.4(04.04.11) " xfId="50"/>
    <cellStyle name="_Расчет RAB_22072008_Книга2_PR.PROG.WARM.NOTCOMBI.2012.2.16_v1.4(04.04.11) " xfId="50"/>
    <cellStyle name="_Расчет RAB_Лен и МОЭСК_с 2010 года_14.04.2009_со сглаж_version 3.0_без ФСК_PR.PROG.WARM.NOTCOMBI.2012.2.16_v1.4(04.04.11) " xfId="50"/>
    <cellStyle name="_Расчет RAB_Лен и МОЭСК_с 2010 года_14.04.2009_со сглаж_version 3.0_без ФСК_Книга2_PR.PROG.WARM.NOTCOMBI.2012.2.16_v1.4(04.04.11) " xfId="50"/>
    <cellStyle name="currency1" xfId="51"/>
    <cellStyle name="Currency2" xfId="52"/>
    <cellStyle name="currency3" xfId="53"/>
    <cellStyle name="currency4" xfId="54"/>
    <cellStyle name="Followed Hyperlink" xfId="55"/>
    <cellStyle name="Hyperlink" xfId="56" builtinId="8"/>
    <cellStyle name="Normal1" xfId="57"/>
    <cellStyle name="Normal2" xfId="52"/>
    <cellStyle name="Percent1" xfId="52"/>
    <cellStyle name="Гиперссылка" xfId="58"/>
    <cellStyle name="Обычный 10" xfId="59"/>
    <cellStyle name="Обычный 16" xfId="60"/>
    <cellStyle name="Обычный 2" xfId="61"/>
    <cellStyle name="Обычный_BALANCE.WARM.2007YEAR(FACT)" xfId="62"/>
    <cellStyle name="Обычный_PRIL1.ELECTR" xfId="62"/>
    <cellStyle name="Открывавшаяся гиперссылка" xfId="63"/>
  </cellStyles>
  <dxfs count="0"/>
  <tableStyles count="0" defaultTableStyle="TableStyleMedium2" defaultPivotStyle="PivotStyleLight16"/>
</styleSheet>
</file>

<file path=xl/_rels/workbook.xml.rels><?xml version="1.0" encoding="UTF-8" standalone="yes"?>
<Relationships xmlns="http://schemas.openxmlformats.org/package/2006/relationships"><Relationship Id="rId1" Type="http://schemas.openxmlformats.org/officeDocument/2006/relationships/styles" Target="styles.xml"/><Relationship Id="rId2" Type="http://schemas.openxmlformats.org/officeDocument/2006/relationships/worksheet" Target="worksheets/sheet1.xml"/><Relationship Id="rId3" Type="http://schemas.openxmlformats.org/officeDocument/2006/relationships/worksheet" Target="worksheets/sheet2.xml"/><Relationship Id="rId4" Type="http://schemas.openxmlformats.org/officeDocument/2006/relationships/worksheet" Target="worksheets/sheet3.xml"/><Relationship Id="rId5" Type="http://schemas.openxmlformats.org/officeDocument/2006/relationships/worksheet" Target="worksheets/sheet4.xml"/><Relationship Id="rId6" Type="http://schemas.openxmlformats.org/officeDocument/2006/relationships/worksheet" Target="worksheets/sheet5.xml"/><Relationship Id="rId7" Type="http://schemas.openxmlformats.org/officeDocument/2006/relationships/worksheet" Target="worksheets/sheet6.xml"/><Relationship Id="rId8" Type="http://schemas.openxmlformats.org/officeDocument/2006/relationships/worksheet" Target="worksheets/sheet7.xml"/><Relationship Id="rId9" Type="http://schemas.openxmlformats.org/officeDocument/2006/relationships/worksheet" Target="worksheets/sheet8.xml"/><Relationship Id="rId10" Type="http://schemas.openxmlformats.org/officeDocument/2006/relationships/worksheet" Target="worksheets/sheet9.xml"/><Relationship Id="rId11" Type="http://schemas.openxmlformats.org/officeDocument/2006/relationships/worksheet" Target="worksheets/sheet10.xml"/><Relationship Id="rId12" Type="http://schemas.openxmlformats.org/officeDocument/2006/relationships/worksheet" Target="worksheets/sheet11.xml"/><Relationship Id="rId13" Type="http://schemas.openxmlformats.org/officeDocument/2006/relationships/worksheet" Target="worksheets/sheet12.xml"/><Relationship Id="rId14" Type="http://schemas.openxmlformats.org/officeDocument/2006/relationships/worksheet" Target="worksheets/sheet13.xml"/><Relationship Id="rId15" Type="http://schemas.openxmlformats.org/officeDocument/2006/relationships/worksheet" Target="worksheets/sheet14.xml"/><Relationship Id="rId16" Type="http://schemas.openxmlformats.org/officeDocument/2006/relationships/worksheet" Target="worksheets/sheet15.xml"/><Relationship Id="rId17" Type="http://schemas.openxmlformats.org/officeDocument/2006/relationships/worksheet" Target="worksheets/sheet16.xml"/><Relationship Id="rId18" Type="http://schemas.openxmlformats.org/officeDocument/2006/relationships/worksheet" Target="worksheets/sheet17.xml"/><Relationship Id="rId19" Type="http://schemas.openxmlformats.org/officeDocument/2006/relationships/worksheet" Target="worksheets/sheet18.xml"/><Relationship Id="rId20" Type="http://schemas.openxmlformats.org/officeDocument/2006/relationships/worksheet" Target="worksheets/sheet19.xml"/><Relationship Id="rId21" Type="http://schemas.openxmlformats.org/officeDocument/2006/relationships/worksheet" Target="worksheets/sheet20.xml"/><Relationship Id="rId22" Type="http://schemas.openxmlformats.org/officeDocument/2006/relationships/worksheet" Target="worksheets/sheet21.xml"/><Relationship Id="rId23" Type="http://schemas.openxmlformats.org/officeDocument/2006/relationships/worksheet" Target="worksheets/sheet22.xml"/><Relationship Id="rId24" Type="http://schemas.openxmlformats.org/officeDocument/2006/relationships/worksheet" Target="worksheets/sheet23.xml"/><Relationship Id="rId25" Type="http://schemas.openxmlformats.org/officeDocument/2006/relationships/worksheet" Target="worksheets/sheet24.xml"/><Relationship Id="rId26" Type="http://schemas.openxmlformats.org/officeDocument/2006/relationships/worksheet" Target="worksheets/sheet25.xml"/><Relationship Id="rId27" Type="http://schemas.openxmlformats.org/officeDocument/2006/relationships/worksheet" Target="worksheets/sheet26.xml"/><Relationship Id="rId28" Type="http://schemas.openxmlformats.org/officeDocument/2006/relationships/worksheet" Target="worksheets/sheet27.xml"/><Relationship Id="rId29" Type="http://schemas.openxmlformats.org/officeDocument/2006/relationships/worksheet" Target="worksheets/sheet28.xml"/><Relationship Id="rId30" Type="http://schemas.openxmlformats.org/officeDocument/2006/relationships/worksheet" Target="worksheets/sheet29.xml"/><Relationship Id="rId31" Type="http://schemas.openxmlformats.org/officeDocument/2006/relationships/worksheet" Target="worksheets/sheet30.xml"/><Relationship Id="rId32" Type="http://schemas.openxmlformats.org/officeDocument/2006/relationships/worksheet" Target="worksheets/sheet31.xml"/><Relationship Id="rId33" Type="http://schemas.openxmlformats.org/officeDocument/2006/relationships/worksheet" Target="worksheets/sheet32.xml"/><Relationship Id="rId34" Type="http://schemas.openxmlformats.org/officeDocument/2006/relationships/worksheet" Target="worksheets/sheet33.xml"/><Relationship Id="rId35" Type="http://schemas.openxmlformats.org/officeDocument/2006/relationships/worksheet" Target="worksheets/sheet34.xml"/><Relationship Id="rId36" Type="http://schemas.openxmlformats.org/officeDocument/2006/relationships/worksheet" Target="worksheets/sheet35.xml"/><Relationship Id="rId37" Type="http://schemas.openxmlformats.org/officeDocument/2006/relationships/worksheet" Target="worksheets/sheet36.xml"/><Relationship Id="rId38" Type="http://schemas.openxmlformats.org/officeDocument/2006/relationships/worksheet" Target="worksheets/sheet37.xml"/><Relationship Id="rId39" Type="http://schemas.openxmlformats.org/officeDocument/2006/relationships/worksheet" Target="worksheets/sheet38.xml"/><Relationship Id="rId40" Type="http://schemas.openxmlformats.org/officeDocument/2006/relationships/worksheet" Target="worksheets/sheet39.xml"/><Relationship Id="rId41" Type="http://schemas.openxmlformats.org/officeDocument/2006/relationships/worksheet" Target="worksheets/sheet40.xml"/><Relationship Id="rId42" Type="http://schemas.openxmlformats.org/officeDocument/2006/relationships/worksheet" Target="worksheets/sheet41.xml"/><Relationship Id="rId43" Type="http://schemas.openxmlformats.org/officeDocument/2006/relationships/worksheet" Target="worksheets/sheet42.xml"/><Relationship Id="rId44" Type="http://schemas.openxmlformats.org/officeDocument/2006/relationships/worksheet" Target="worksheets/sheet43.xml"/><Relationship Id="rId45" Type="http://schemas.openxmlformats.org/officeDocument/2006/relationships/worksheet" Target="worksheets/sheet44.xml"/><Relationship Id="rId46" Type="http://schemas.openxmlformats.org/officeDocument/2006/relationships/worksheet" Target="worksheets/sheet45.xml"/><Relationship Id="rId47" Type="http://schemas.openxmlformats.org/officeDocument/2006/relationships/worksheet" Target="worksheets/sheet46.xml"/><Relationship Id="rId48" Type="http://schemas.openxmlformats.org/officeDocument/2006/relationships/worksheet" Target="worksheets/sheet47.xml"/><Relationship Id="rId49" Type="http://schemas.openxmlformats.org/officeDocument/2006/relationships/worksheet" Target="worksheets/sheet48.xml"/><Relationship Id="rId50" Type="http://schemas.openxmlformats.org/officeDocument/2006/relationships/worksheet" Target="worksheets/sheet49.xml"/><Relationship Id="rId51" Type="http://schemas.openxmlformats.org/officeDocument/2006/relationships/worksheet" Target="worksheets/sheet50.xml"/><Relationship Id="rId52" Type="http://schemas.openxmlformats.org/officeDocument/2006/relationships/worksheet" Target="worksheets/sheet51.xml"/><Relationship Id="rId53" Type="http://schemas.openxmlformats.org/officeDocument/2006/relationships/worksheet" Target="worksheets/sheet52.xml"/><Relationship Id="rId54" Type="http://schemas.openxmlformats.org/officeDocument/2006/relationships/worksheet" Target="worksheets/sheet53.xml"/><Relationship Id="rId55" Type="http://schemas.openxmlformats.org/officeDocument/2006/relationships/worksheet" Target="worksheets/sheet54.xml"/><Relationship Id="rId56" Type="http://schemas.openxmlformats.org/officeDocument/2006/relationships/worksheet" Target="worksheets/sheet55.xml"/><Relationship Id="rId57" Type="http://schemas.openxmlformats.org/officeDocument/2006/relationships/worksheet" Target="worksheets/sheet56.xml"/><Relationship Id="rId58" Type="http://schemas.openxmlformats.org/officeDocument/2006/relationships/worksheet" Target="worksheets/sheet57.xml"/><Relationship Id="rId59" Type="http://schemas.openxmlformats.org/officeDocument/2006/relationships/worksheet" Target="worksheets/sheet58.xml"/><Relationship Id="rId60" Type="http://schemas.openxmlformats.org/officeDocument/2006/relationships/worksheet" Target="worksheets/sheet59.xml"/><Relationship Id="rId61" Type="http://schemas.openxmlformats.org/officeDocument/2006/relationships/worksheet" Target="worksheets/sheet60.xml"/><Relationship Id="rId62" Type="http://schemas.openxmlformats.org/officeDocument/2006/relationships/worksheet" Target="worksheets/sheet61.xml"/><Relationship Id="rId63" Type="http://schemas.openxmlformats.org/officeDocument/2006/relationships/worksheet" Target="worksheets/sheet62.xml"/><Relationship Id="rId64" Type="http://schemas.openxmlformats.org/officeDocument/2006/relationships/worksheet" Target="worksheets/sheet63.xml"/><Relationship Id="rId65" Type="http://schemas.openxmlformats.org/officeDocument/2006/relationships/worksheet" Target="worksheets/sheet64.xml"/><Relationship Id="rId66" Type="http://schemas.openxmlformats.org/officeDocument/2006/relationships/worksheet" Target="worksheets/sheet65.xml"/><Relationship Id="rId67" Type="http://schemas.openxmlformats.org/officeDocument/2006/relationships/worksheet" Target="worksheets/sheet66.xml"/><Relationship Id="rId68" Type="http://schemas.openxmlformats.org/officeDocument/2006/relationships/worksheet" Target="worksheets/sheet67.xml"/><Relationship Id="rId69" Type="http://schemas.openxmlformats.org/officeDocument/2006/relationships/worksheet" Target="worksheets/sheet68.xml"/><Relationship Id="rId70" Type="http://schemas.openxmlformats.org/officeDocument/2006/relationships/worksheet" Target="worksheets/sheet69.xml"/><Relationship Id="rId71" Type="http://schemas.openxmlformats.org/officeDocument/2006/relationships/worksheet" Target="worksheets/sheet70.xml"/><Relationship Id="rId72" Type="http://schemas.openxmlformats.org/officeDocument/2006/relationships/worksheet" Target="worksheets/sheet71.xml"/><Relationship Id="rId73" Type="http://schemas.openxmlformats.org/officeDocument/2006/relationships/worksheet" Target="worksheets/sheet72.xml"/><Relationship Id="rId74" Type="http://schemas.openxmlformats.org/officeDocument/2006/relationships/worksheet" Target="worksheets/sheet73.xml"/><Relationship Id="rId75" Type="http://schemas.openxmlformats.org/officeDocument/2006/relationships/worksheet" Target="worksheets/sheet74.xml"/><Relationship Id="rId76" Type="http://schemas.openxmlformats.org/officeDocument/2006/relationships/worksheet" Target="worksheets/sheet75.xml"/><Relationship Id="rId77" Type="http://schemas.openxmlformats.org/officeDocument/2006/relationships/worksheet" Target="worksheets/sheet76.xml"/><Relationship Id="rId78" Type="http://schemas.openxmlformats.org/officeDocument/2006/relationships/worksheet" Target="worksheets/sheet77.xml"/><Relationship Id="rId79" Type="http://schemas.openxmlformats.org/officeDocument/2006/relationships/worksheet" Target="worksheets/sheet78.xml"/><Relationship Id="rId80" Type="http://schemas.openxmlformats.org/officeDocument/2006/relationships/worksheet" Target="worksheets/sheet79.xml"/><Relationship Id="rId81" Type="http://schemas.openxmlformats.org/officeDocument/2006/relationships/worksheet" Target="worksheets/sheet80.xml"/><Relationship Id="rId82" Type="http://schemas.openxmlformats.org/officeDocument/2006/relationships/worksheet" Target="worksheets/sheet81.xml"/><Relationship Id="rId83" Type="http://schemas.openxmlformats.org/officeDocument/2006/relationships/worksheet" Target="worksheets/sheet82.xml"/><Relationship Id="rId84" Type="http://schemas.openxmlformats.org/officeDocument/2006/relationships/worksheet" Target="worksheets/sheet83.xml"/><Relationship Id="rId85" Type="http://schemas.openxmlformats.org/officeDocument/2006/relationships/worksheet" Target="worksheets/sheet84.xml"/><Relationship Id="rId86" Type="http://schemas.openxmlformats.org/officeDocument/2006/relationships/worksheet" Target="worksheets/sheet85.xml"/><Relationship Id="rId87" Type="http://schemas.openxmlformats.org/officeDocument/2006/relationships/worksheet" Target="worksheets/sheet86.xml"/><Relationship Id="rId88" Type="http://schemas.openxmlformats.org/officeDocument/2006/relationships/worksheet" Target="worksheets/sheet87.xml"/><Relationship Id="rId89" Type="http://schemas.openxmlformats.org/officeDocument/2006/relationships/worksheet" Target="worksheets/sheet88.xml"/><Relationship Id="rId90" Type="http://schemas.openxmlformats.org/officeDocument/2006/relationships/worksheet" Target="worksheets/sheet89.xml"/><Relationship Id="rId91" Type="http://schemas.openxmlformats.org/officeDocument/2006/relationships/sharedStrings" Target="sharedStrings.xml"/><Relationship Id="rId92" Type="http://schemas.openxmlformats.org/officeDocument/2006/relationships/theme" Target="theme/theme1.xml"/></Relationships>
</file>

<file path=xl/drawings/_rels/drawing1.xml.rels><?xml version="1.0" encoding="UTF-8" standalone="yes"?>
<Relationships xmlns="http://schemas.openxmlformats.org/package/2006/relationships"><Relationship Id="rId1" Type="http://schemas.openxmlformats.org/officeDocument/2006/relationships/image" Target="../media/image1.jpeg"/><Relationship Id="rId2" Type="http://schemas.openxmlformats.org/officeDocument/2006/relationships/image" Target="../media/image2.jpeg"/><Relationship Id="rId3" Type="http://schemas.openxmlformats.org/officeDocument/2006/relationships/image" Target="../media/image3.png"/><Relationship Id="rId4" Type="http://schemas.openxmlformats.org/officeDocument/2006/relationships/image" Target="../media/image4.png"/><Relationship Id="rId5" Type="http://schemas.openxmlformats.org/officeDocument/2006/relationships/image" Target="../media/image5.jpeg"/></Relationships>
</file>

<file path=xl/drawings/_rels/drawing2.xml.rels><?xml version="1.0" encoding="UTF-8" standalone="yes"?>
<Relationships xmlns="http://schemas.openxmlformats.org/package/2006/relationships"><Relationship Id="rId1" Type="http://schemas.openxmlformats.org/officeDocument/2006/relationships/image" Target="../media/image6.png"/><Relationship Id="rId2" Type="http://schemas.openxmlformats.org/officeDocument/2006/relationships/image" Target="../media/image7.png"/></Relationships>
</file>

<file path=xl/drawings/_rels/drawing3.xml.rels><?xml version="1.0" encoding="UTF-8" standalone="yes"?>
<Relationships xmlns="http://schemas.openxmlformats.org/package/2006/relationships"><Relationship Id="rId1" Type="http://schemas.openxmlformats.org/officeDocument/2006/relationships/image" Target="../media/image8.png"/></Relationships>
</file>

<file path=xl/drawings/_rels/drawing4.xml.rels><?xml version="1.0" encoding="UTF-8" standalone="yes"?>
<Relationships xmlns="http://schemas.openxmlformats.org/package/2006/relationships"><Relationship Id="rId1" Type="http://schemas.openxmlformats.org/officeDocument/2006/relationships/image" Target="../media/image9.png"/></Relationships>
</file>

<file path=xl/drawings/_rels/drawing5.xml.rels><?xml version="1.0" encoding="UTF-8" standalone="yes"?>
<Relationships xmlns="http://schemas.openxmlformats.org/package/2006/relationships"><Relationship Id="rId1" Type="http://schemas.openxmlformats.org/officeDocument/2006/relationships/image" Target="../media/image10.png"/></Relationships>
</file>

<file path=xl/drawings/_rels/drawing6.xml.rels><?xml version="1.0" encoding="UTF-8" standalone="yes"?>
<Relationships xmlns="http://schemas.openxmlformats.org/package/2006/relationships"><Relationship Id="rId1" Type="http://schemas.openxmlformats.org/officeDocument/2006/relationships/image" Target="../media/image11.png"/></Relationships>
</file>

<file path=xl/drawings/_rels/drawing7.xml.rels><?xml version="1.0" encoding="UTF-8" standalone="yes"?>
<Relationships xmlns="http://schemas.openxmlformats.org/package/2006/relationships"><Relationship Id="rId1" Type="http://schemas.openxmlformats.org/officeDocument/2006/relationships/image" Target="../media/image12.png"/></Relationships>
</file>

<file path=xl/drawings/_rels/drawing8.xml.rels><?xml version="1.0" encoding="UTF-8" standalone="yes"?>
<Relationships xmlns="http://schemas.openxmlformats.org/package/2006/relationships"><Relationship Id="rId1" Type="http://schemas.openxmlformats.org/officeDocument/2006/relationships/image" Target="../media/image13.png"/></Relationships>
</file>

<file path=xl/drawings/drawing1.xml><?xml version="1.0" encoding="utf-8"?>
<xdr:wsDr xmlns:xdr="http://schemas.openxmlformats.org/drawingml/2006/spreadsheetDrawing" xmlns:a="http://schemas.openxmlformats.org/drawingml/2006/main">
  <xdr:twoCellAnchor editAs="oneCell">
    <xdr:from>
      <xdr:col>3</xdr:col>
      <xdr:colOff>57150</xdr:colOff>
      <xdr:row>8</xdr:row>
      <xdr:rowOff>0</xdr:rowOff>
    </xdr:from>
    <xdr:to>
      <xdr:col>4</xdr:col>
      <xdr:colOff>314515</xdr:colOff>
      <xdr:row>14</xdr:row>
      <xdr:rowOff>191</xdr:rowOff>
    </xdr:to>
    <xdr:pic>
      <xdr:nvPicPr>
        <xdr:cNvPr id="1" name="PHONE_PIC"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3</xdr:col>
      <xdr:colOff>57150</xdr:colOff>
      <xdr:row>16</xdr:row>
      <xdr:rowOff>0</xdr:rowOff>
    </xdr:from>
    <xdr:to>
      <xdr:col>4</xdr:col>
      <xdr:colOff>314515</xdr:colOff>
      <xdr:row>30</xdr:row>
      <xdr:rowOff>191</xdr:rowOff>
    </xdr:to>
    <xdr:pic>
      <xdr:nvPicPr>
        <xdr:cNvPr id="2" name="PHONE_PIC_1" descr="update_org.png" hidden="1"/>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7</xdr:col>
      <xdr:colOff>0</xdr:colOff>
      <xdr:row>4</xdr:row>
      <xdr:rowOff>0</xdr:rowOff>
    </xdr:from>
    <xdr:to>
      <xdr:col>8</xdr:col>
      <xdr:colOff>207645</xdr:colOff>
      <xdr:row>4</xdr:row>
      <xdr:rowOff>207645</xdr:rowOff>
    </xdr:to>
    <xdr:pic>
      <xdr:nvPicPr>
        <xdr:cNvPr id="3" name="cmdCreatePrintedForm" descr="Создание печатной формы" hidden="1"/>
        <xdr:cNvPicPr>
          <a:picLocks noChangeAspect="1"/>
        </xdr:cNvPicPr>
      </xdr:nvPicPr>
      <xdr:blipFill>
        <a:blip xmlns:r="http://schemas.openxmlformats.org/officeDocument/2006/relationships" r:embed="rId3"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4</xdr:col>
      <xdr:colOff>0</xdr:colOff>
      <xdr:row>30</xdr:row>
      <xdr:rowOff>0</xdr:rowOff>
    </xdr:from>
    <xdr:to>
      <xdr:col>4</xdr:col>
      <xdr:colOff>288036</xdr:colOff>
      <xdr:row>32</xdr:row>
      <xdr:rowOff>54102</xdr:rowOff>
    </xdr:to>
    <xdr:pic>
      <xdr:nvPicPr>
        <xdr:cNvPr id="4" name="UPDATE_PLAN1X_DATA" descr="update_org.png" hidden="1"/>
        <xdr:cNvPicPr>
          <a:picLocks noChangeAspect="1"/>
        </xdr:cNvPicPr>
      </xdr:nvPicPr>
      <xdr:blipFill>
        <a:blip xmlns:r="http://schemas.openxmlformats.org/officeDocument/2006/relationships" r:embed="rId4"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3</xdr:col>
      <xdr:colOff>57150</xdr:colOff>
      <xdr:row>65</xdr:row>
      <xdr:rowOff>76200</xdr:rowOff>
    </xdr:from>
    <xdr:to>
      <xdr:col>4</xdr:col>
      <xdr:colOff>321850</xdr:colOff>
      <xdr:row>65</xdr:row>
      <xdr:rowOff>400240</xdr:rowOff>
    </xdr:to>
    <xdr:pic>
      <xdr:nvPicPr>
        <xdr:cNvPr id="5" name="PHONE_PIC_2" descr="update_org.png" hidden="1"/>
        <xdr:cNvPicPr>
          <a:picLocks noChangeAspect="1"/>
        </xdr:cNvPicPr>
      </xdr:nvPicPr>
      <xdr:blipFill>
        <a:blip xmlns:r="http://schemas.openxmlformats.org/officeDocument/2006/relationships" r:embed="rId5"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6</xdr:col>
      <xdr:colOff>0</xdr:colOff>
      <xdr:row>8</xdr:row>
      <xdr:rowOff>0</xdr:rowOff>
    </xdr:from>
    <xdr:to>
      <xdr:col>6</xdr:col>
      <xdr:colOff>207645</xdr:colOff>
      <xdr:row>8</xdr:row>
      <xdr:rowOff>207645</xdr:rowOff>
    </xdr:to>
    <xdr:pic>
      <xdr:nvPicPr>
        <xdr:cNvPr id="1" name="ExcludeHelp_2" descr="Справка по листу"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xdr:from>
      <xdr:col>4</xdr:col>
      <xdr:colOff>114300</xdr:colOff>
      <xdr:row>5</xdr:row>
      <xdr:rowOff>0</xdr:rowOff>
    </xdr:from>
    <xdr:to>
      <xdr:col>6</xdr:col>
      <xdr:colOff>18764</xdr:colOff>
      <xdr:row>6</xdr:row>
      <xdr:rowOff>0</xdr:rowOff>
    </xdr:to>
    <xdr:pic>
      <xdr:nvPicPr>
        <xdr:cNvPr id="2" name="Рисунок 1" hidden="1"/>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3.xml><?xml version="1.0" encoding="utf-8"?>
<xdr:wsDr xmlns:xdr="http://schemas.openxmlformats.org/drawingml/2006/spreadsheetDrawing" xmlns:a="http://schemas.openxmlformats.org/drawingml/2006/main">
  <xdr:twoCellAnchor>
    <xdr:from>
      <xdr:col>3</xdr:col>
      <xdr:colOff>73533</xdr:colOff>
      <xdr:row>6</xdr:row>
      <xdr:rowOff>0</xdr:rowOff>
    </xdr:from>
    <xdr:to>
      <xdr:col>4</xdr:col>
      <xdr:colOff>155734</xdr:colOff>
      <xdr:row>6</xdr:row>
      <xdr:rowOff>0</xdr:rowOff>
    </xdr:to>
    <xdr:pic>
      <xdr:nvPicPr>
        <xdr:cNvPr id="1" name="Рисунок 8"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4.xml><?xml version="1.0" encoding="utf-8"?>
<xdr:wsDr xmlns:xdr="http://schemas.openxmlformats.org/drawingml/2006/spreadsheetDrawing" xmlns:a="http://schemas.openxmlformats.org/drawingml/2006/main">
  <xdr:twoCellAnchor>
    <xdr:from>
      <xdr:col>4</xdr:col>
      <xdr:colOff>0</xdr:colOff>
      <xdr:row>8</xdr:row>
      <xdr:rowOff>0</xdr:rowOff>
    </xdr:from>
    <xdr:to>
      <xdr:col>5</xdr:col>
      <xdr:colOff>0</xdr:colOff>
      <xdr:row>9</xdr:row>
      <xdr:rowOff>30480</xdr:rowOff>
    </xdr:to>
    <xdr:pic>
      <xdr:nvPicPr>
        <xdr:cNvPr id="1" name="UNFREEZE_PANES_I11"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5.xml><?xml version="1.0" encoding="utf-8"?>
<xdr:wsDr xmlns:xdr="http://schemas.openxmlformats.org/drawingml/2006/spreadsheetDrawing" xmlns:a="http://schemas.openxmlformats.org/drawingml/2006/main">
  <xdr:twoCellAnchor>
    <xdr:from>
      <xdr:col>4</xdr:col>
      <xdr:colOff>0</xdr:colOff>
      <xdr:row>4</xdr:row>
      <xdr:rowOff>0</xdr:rowOff>
    </xdr:from>
    <xdr:to>
      <xdr:col>8</xdr:col>
      <xdr:colOff>0</xdr:colOff>
      <xdr:row>5</xdr:row>
      <xdr:rowOff>0</xdr:rowOff>
    </xdr:to>
    <xdr:pic>
      <xdr:nvPicPr>
        <xdr:cNvPr id="1"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6.xml><?xml version="1.0" encoding="utf-8"?>
<xdr:wsDr xmlns:xdr="http://schemas.openxmlformats.org/drawingml/2006/spreadsheetDrawing" xmlns:a="http://schemas.openxmlformats.org/drawingml/2006/main">
  <xdr:twoCellAnchor>
    <xdr:from>
      <xdr:col>0</xdr:col>
      <xdr:colOff>0</xdr:colOff>
      <xdr:row>13</xdr:row>
      <xdr:rowOff>0</xdr:rowOff>
    </xdr:from>
    <xdr:to>
      <xdr:col>3</xdr:col>
      <xdr:colOff>0</xdr:colOff>
      <xdr:row>13</xdr:row>
      <xdr:rowOff>247650</xdr:rowOff>
    </xdr:to>
    <xdr:pic>
      <xdr:nvPicPr>
        <xdr:cNvPr id="1"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7.xml><?xml version="1.0" encoding="utf-8"?>
<xdr:wsDr xmlns:xdr="http://schemas.openxmlformats.org/drawingml/2006/spreadsheetDrawing" xmlns:a="http://schemas.openxmlformats.org/drawingml/2006/main">
  <xdr:twoCellAnchor>
    <xdr:from>
      <xdr:col>0</xdr:col>
      <xdr:colOff>0</xdr:colOff>
      <xdr:row>13</xdr:row>
      <xdr:rowOff>0</xdr:rowOff>
    </xdr:from>
    <xdr:to>
      <xdr:col>4</xdr:col>
      <xdr:colOff>0</xdr:colOff>
      <xdr:row>13</xdr:row>
      <xdr:rowOff>171450</xdr:rowOff>
    </xdr:to>
    <xdr:pic>
      <xdr:nvPicPr>
        <xdr:cNvPr id="1"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8.xml><?xml version="1.0" encoding="utf-8"?>
<xdr:wsDr xmlns:xdr="http://schemas.openxmlformats.org/drawingml/2006/spreadsheetDrawing" xmlns:a="http://schemas.openxmlformats.org/drawingml/2006/main">
  <xdr:twoCellAnchor>
    <xdr:from>
      <xdr:col>0</xdr:col>
      <xdr:colOff>0</xdr:colOff>
      <xdr:row>4</xdr:row>
      <xdr:rowOff>0</xdr:rowOff>
    </xdr:from>
    <xdr:to>
      <xdr:col>3</xdr:col>
      <xdr:colOff>0</xdr:colOff>
      <xdr:row>4</xdr:row>
      <xdr:rowOff>247650</xdr:rowOff>
    </xdr:to>
    <xdr:pic>
      <xdr:nvPicPr>
        <xdr:cNvPr id="1"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theme/theme1.xml><?xml version="1.0" encoding="utf-8"?>
<a:theme xmlns:a="http://schemas.openxmlformats.org/drawingml/2006/main" name="Тема Office">
  <a:themeElements>
    <a:clrScheme name="Стандартная">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Тема 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2.xml.rels><?xml version="1.0" encoding="UTF-8" standalone="yes"?>
<Relationships xmlns="http://schemas.openxmlformats.org/package/2006/relationships"><Relationship Id="rId1" Type="http://schemas.openxmlformats.org/officeDocument/2006/relationships/comments" Target="../comments1.xml"/><Relationship Id="rId2" Type="http://schemas.openxmlformats.org/officeDocument/2006/relationships/vmlDrawing" Target="../drawings/vmlDrawing1.vml"/><Relationship Id="rId3" Type="http://schemas.openxmlformats.org/officeDocument/2006/relationships/drawing" Target="../drawings/drawing1.xm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5.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36.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7.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48.xml.rels><?xml version="1.0" encoding="UTF-8" standalone="yes"?>
<Relationships xmlns="http://schemas.openxmlformats.org/package/2006/relationships"><Relationship Id="rId1" Type="http://schemas.openxmlformats.org/officeDocument/2006/relationships/drawing" Target="../drawings/drawing7.xml"/></Relationships>
</file>

<file path=xl/worksheets/_rels/sheet49.xml.rels><?xml version="1.0" encoding="UTF-8" standalone="yes"?>
<Relationships xmlns="http://schemas.openxmlformats.org/package/2006/relationships"><Relationship Id="rId1" Type="http://schemas.openxmlformats.org/officeDocument/2006/relationships/drawing" Target="../drawings/drawing8.xml"/></Relationships>
</file>

<file path=xl/worksheets/_rels/sheet51.xml.rels><?xml version="1.0" encoding="UTF-8" standalone="yes"?>
<Relationships xmlns="http://schemas.openxmlformats.org/package/2006/relationships"><Relationship Id="rId1" Type="http://schemas.openxmlformats.org/officeDocument/2006/relationships/comments" Target="../comments2.xml"/><Relationship Id="rId2" Type="http://schemas.openxmlformats.org/officeDocument/2006/relationships/vmlDrawing" Target="../drawings/vmlDrawing2.vml"/></Relationships>
</file>

<file path=xl/worksheets/_rels/sheet63.xml.rels><?xml version="1.0" encoding="UTF-8" standalone="yes"?>
<Relationships xmlns="http://schemas.openxmlformats.org/package/2006/relationships"><Relationship Id="rId1" Type="http://schemas.openxmlformats.org/officeDocument/2006/relationships/comments" Target="../comments3.xml"/><Relationship Id="rId2" Type="http://schemas.openxmlformats.org/officeDocument/2006/relationships/vmlDrawing" Target="../drawings/vmlDrawing3.v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52E4378-D9AD-9137-5DB6-5BC9B152963B}" mc:Ignorable="x14ac xr xr2 xr3">
  <dimension ref="A1:AB21"/>
  <sheetViews>
    <sheetView topLeftCell="A1" showGridLines="0" showRowColHeaders="0" workbookViewId="0">
      <selection activeCell="A1" sqref="A1"/>
    </sheetView>
  </sheetViews>
  <sheetFormatPr defaultColWidth="11.00390625" customHeight="1" defaultRowHeight="12.75"/>
  <cols>
    <col min="1" max="1" style="1704" width="5.421875" customWidth="1"/>
    <col min="2" max="2" style="1704" width="9.140625" customWidth="1"/>
    <col min="3" max="3" style="1704" width="16.421875" customWidth="1"/>
    <col min="4" max="25" style="1704" width="6.28125" customWidth="1"/>
    <col min="26" max="28" style="1704" width="11.00390625"/>
  </cols>
  <sheetData>
    <row customHeight="1" ht="15.75">
      <c r="A1" s="1700"/>
      <c r="B1" s="1701"/>
      <c r="C1" s="1701"/>
      <c r="D1" s="1701"/>
      <c r="E1" s="1701"/>
      <c r="F1" s="1701"/>
      <c r="G1" s="1701"/>
      <c r="H1" s="1701"/>
      <c r="I1" s="1701"/>
      <c r="J1" s="1701"/>
      <c r="K1" s="1701"/>
      <c r="L1" s="1701"/>
      <c r="M1" s="1701"/>
      <c r="N1" s="1701"/>
      <c r="O1" s="1701"/>
      <c r="P1" s="1701"/>
      <c r="Q1" s="1701"/>
      <c r="R1" s="1701"/>
      <c r="S1" s="1701"/>
      <c r="T1" s="1701"/>
      <c r="U1" s="1701"/>
      <c r="V1" s="1701"/>
      <c r="W1" s="1701"/>
      <c r="X1" s="1701"/>
      <c r="Y1" s="1702"/>
      <c r="Z1" s="1701"/>
      <c r="AA1" s="1703" t="s">
        <v>0</v>
      </c>
      <c r="AB1" s="1701"/>
    </row>
    <row customHeight="1" ht="17.25">
      <c r="A2" s="1701"/>
      <c r="B2" s="2077" t="s">
        <v>1</v>
      </c>
      <c r="C2" s="2077"/>
      <c r="D2" s="2077"/>
      <c r="E2" s="2077"/>
      <c r="F2" s="2077"/>
      <c r="G2" s="2077"/>
      <c r="H2" s="2077"/>
      <c r="I2" s="2077"/>
      <c r="J2" s="2077"/>
      <c r="K2" s="2077"/>
      <c r="L2" s="2077"/>
      <c r="M2" s="2077"/>
      <c r="N2" s="2077"/>
      <c r="O2" s="2077"/>
      <c r="P2" s="2077"/>
      <c r="Q2" s="1705"/>
      <c r="R2" s="1705"/>
      <c r="S2" s="1705"/>
      <c r="T2" s="1705"/>
      <c r="U2" s="1705"/>
      <c r="V2" s="1706"/>
      <c r="W2" s="1705"/>
      <c r="X2" s="1705"/>
      <c r="Y2" s="1702"/>
      <c r="Z2" s="1701"/>
      <c r="AA2" s="1703"/>
      <c r="AB2" s="1701"/>
    </row>
    <row customHeight="1" ht="15.75">
      <c r="A3" s="1701"/>
      <c r="B3" s="2078" t="s">
        <v>2</v>
      </c>
      <c r="C3" s="2078"/>
      <c r="D3" s="2078"/>
      <c r="E3" s="2078"/>
      <c r="F3" s="2078"/>
      <c r="G3" s="2078"/>
      <c r="H3" s="2078"/>
      <c r="I3" s="2078"/>
      <c r="J3" s="2078"/>
      <c r="K3" s="2078"/>
      <c r="L3" s="2078"/>
      <c r="M3" s="2078"/>
      <c r="N3" s="2078"/>
      <c r="O3" s="2078"/>
      <c r="P3" s="2078"/>
      <c r="Q3" s="1706"/>
      <c r="R3" s="1706"/>
      <c r="S3" s="1705"/>
      <c r="T3" s="1705"/>
      <c r="U3" s="1705"/>
      <c r="V3" s="1706"/>
      <c r="W3" s="1706"/>
      <c r="X3" s="1706"/>
      <c r="Y3" s="1706"/>
      <c r="Z3" s="1701"/>
      <c r="AA3" s="1703"/>
      <c r="AB3" s="1701"/>
    </row>
    <row customHeight="1" ht="17.25">
      <c r="A4" s="1701"/>
      <c r="B4" s="1707"/>
      <c r="C4" s="1701"/>
      <c r="D4" s="1706"/>
      <c r="E4" s="1706"/>
      <c r="F4" s="1706"/>
      <c r="G4" s="1706"/>
      <c r="H4" s="1706"/>
      <c r="I4" s="1706"/>
      <c r="J4" s="1706"/>
      <c r="K4" s="1706"/>
      <c r="L4" s="1706"/>
      <c r="M4" s="1706"/>
      <c r="N4" s="1706"/>
      <c r="O4" s="1706"/>
      <c r="P4" s="1706"/>
      <c r="Q4" s="1706"/>
      <c r="R4" s="1706"/>
      <c r="S4" s="1706"/>
      <c r="T4" s="1706"/>
      <c r="U4" s="1706"/>
      <c r="V4" s="1706"/>
      <c r="W4" s="1706"/>
      <c r="X4" s="1706"/>
      <c r="Y4" s="1706"/>
      <c r="Z4" s="1701"/>
      <c r="AA4" s="1703"/>
      <c r="AB4" s="1701"/>
    </row>
    <row customHeight="1" ht="22.5">
      <c r="A5" s="1708"/>
      <c r="B5" s="2079" t="str">
        <f>IF(TEMPLATE_SPHERE="","Информация, подлежащая раскрытию регулируемыми организациями",Титульный!E5)</f>
        <v>Информация о наличии (отсутствии) технической возможности подключения к централизованной системе теплоснабжения, а также о регистрации и ходе реализации заявок о подключении к централизованной системе теплоснабжения</v>
      </c>
      <c r="C5" s="2080"/>
      <c r="D5" s="2080"/>
      <c r="E5" s="2080"/>
      <c r="F5" s="2080"/>
      <c r="G5" s="2080"/>
      <c r="H5" s="2080"/>
      <c r="I5" s="2080"/>
      <c r="J5" s="2080"/>
      <c r="K5" s="2080"/>
      <c r="L5" s="2080"/>
      <c r="M5" s="2080"/>
      <c r="N5" s="2080"/>
      <c r="O5" s="2080"/>
      <c r="P5" s="2080"/>
      <c r="Q5" s="2080"/>
      <c r="R5" s="2080"/>
      <c r="S5" s="2080"/>
      <c r="T5" s="2080"/>
      <c r="U5" s="2080"/>
      <c r="V5" s="2080"/>
      <c r="W5" s="2080"/>
      <c r="X5" s="2080"/>
      <c r="Y5" s="2081"/>
      <c r="Z5" s="1708"/>
      <c r="AA5" s="1703"/>
      <c r="AB5" s="1708"/>
    </row>
    <row customHeight="1" ht="15">
      <c r="A6" s="1709"/>
      <c r="B6" s="2082" t="s">
        <v>3</v>
      </c>
      <c r="C6" s="2083"/>
      <c r="D6" s="1710"/>
      <c r="E6" s="1710"/>
      <c r="F6" s="1710"/>
      <c r="G6" s="1710"/>
      <c r="H6" s="1710"/>
      <c r="I6" s="1710"/>
      <c r="J6" s="1710"/>
      <c r="K6" s="1710"/>
      <c r="L6" s="1710"/>
      <c r="M6" s="1710"/>
      <c r="N6" s="1710"/>
      <c r="O6" s="1710"/>
      <c r="P6" s="1710"/>
      <c r="Q6" s="1710"/>
      <c r="R6" s="1710"/>
      <c r="S6" s="1710"/>
      <c r="T6" s="1710"/>
      <c r="U6" s="1710"/>
      <c r="V6" s="1710"/>
      <c r="W6" s="1710"/>
      <c r="X6" s="1710"/>
      <c r="Y6" s="1711"/>
      <c r="Z6" s="1712"/>
      <c r="AA6" s="1713"/>
      <c r="AB6" s="1713"/>
    </row>
    <row customHeight="1" ht="15">
      <c r="A7" s="1709"/>
      <c r="B7" s="2082"/>
      <c r="C7" s="2083"/>
      <c r="D7" s="1710"/>
      <c r="E7" s="1710"/>
      <c r="F7" s="1714"/>
      <c r="G7" s="1714"/>
      <c r="H7" s="1714"/>
      <c r="I7" s="1714"/>
      <c r="J7" s="1714"/>
      <c r="K7" s="1714"/>
      <c r="L7" s="1714"/>
      <c r="M7" s="1714"/>
      <c r="N7" s="1714"/>
      <c r="O7" s="1710"/>
      <c r="P7" s="1714"/>
      <c r="Q7" s="1714"/>
      <c r="R7" s="1714"/>
      <c r="S7" s="1714"/>
      <c r="T7" s="1714"/>
      <c r="U7" s="1714"/>
      <c r="V7" s="1714"/>
      <c r="W7" s="1714"/>
      <c r="X7" s="1714"/>
      <c r="Y7" s="1711"/>
      <c r="Z7" s="1712"/>
      <c r="AA7" s="1713"/>
      <c r="AB7" s="1713"/>
    </row>
    <row customHeight="1" ht="15">
      <c r="A8" s="1709"/>
      <c r="B8" s="2082"/>
      <c r="C8" s="2083"/>
      <c r="D8" s="1715"/>
      <c r="E8" s="1716" t="s">
        <v>4</v>
      </c>
      <c r="F8" s="2085" t="s">
        <v>5</v>
      </c>
      <c r="G8" s="2086"/>
      <c r="H8" s="2086"/>
      <c r="I8" s="2086"/>
      <c r="J8" s="2086"/>
      <c r="K8" s="2086"/>
      <c r="L8" s="2086"/>
      <c r="M8" s="2086"/>
      <c r="N8" s="1715"/>
      <c r="O8" s="1717" t="s">
        <v>4</v>
      </c>
      <c r="P8" s="2087" t="s">
        <v>6</v>
      </c>
      <c r="Q8" s="2088"/>
      <c r="R8" s="2088"/>
      <c r="S8" s="2088"/>
      <c r="T8" s="2088"/>
      <c r="U8" s="2088"/>
      <c r="V8" s="2088"/>
      <c r="W8" s="2088"/>
      <c r="X8" s="2088"/>
      <c r="Y8" s="1711"/>
      <c r="Z8" s="1712"/>
      <c r="AA8" s="1713"/>
      <c r="AB8" s="1713"/>
    </row>
    <row customHeight="1" ht="15">
      <c r="A9" s="1709"/>
      <c r="B9" s="2082"/>
      <c r="C9" s="2083"/>
      <c r="D9" s="1715"/>
      <c r="E9" s="1718" t="s">
        <v>4</v>
      </c>
      <c r="F9" s="2085" t="s">
        <v>7</v>
      </c>
      <c r="G9" s="2086"/>
      <c r="H9" s="2086"/>
      <c r="I9" s="2086"/>
      <c r="J9" s="2086"/>
      <c r="K9" s="2086"/>
      <c r="L9" s="2086"/>
      <c r="M9" s="2086"/>
      <c r="N9" s="1715"/>
      <c r="O9" s="1719" t="s">
        <v>4</v>
      </c>
      <c r="P9" s="2087" t="s">
        <v>8</v>
      </c>
      <c r="Q9" s="2088"/>
      <c r="R9" s="2088"/>
      <c r="S9" s="2088"/>
      <c r="T9" s="2088"/>
      <c r="U9" s="2088"/>
      <c r="V9" s="2088"/>
      <c r="W9" s="2088"/>
      <c r="X9" s="2088"/>
      <c r="Y9" s="1711"/>
      <c r="Z9" s="1712"/>
      <c r="AA9" s="1713"/>
      <c r="AB9" s="1713"/>
    </row>
    <row customHeight="1" ht="30">
      <c r="A10" s="1709"/>
      <c r="B10" s="2082"/>
      <c r="C10" s="2084"/>
      <c r="D10" s="1720"/>
      <c r="E10" s="1721"/>
      <c r="F10" s="1714"/>
      <c r="G10" s="1714"/>
      <c r="H10" s="1714"/>
      <c r="I10" s="1714"/>
      <c r="J10" s="1714"/>
      <c r="K10" s="1714"/>
      <c r="L10" s="1714"/>
      <c r="M10" s="1714"/>
      <c r="N10" s="1714"/>
      <c r="O10" s="1721"/>
      <c r="P10" s="1714"/>
      <c r="Q10" s="1714"/>
      <c r="R10" s="1714"/>
      <c r="S10" s="1714"/>
      <c r="T10" s="1714"/>
      <c r="U10" s="1714"/>
      <c r="V10" s="1714"/>
      <c r="W10" s="1714"/>
      <c r="X10" s="1714"/>
      <c r="Y10" s="1711"/>
      <c r="Z10" s="1712"/>
      <c r="AA10" s="1713"/>
      <c r="AB10" s="1713"/>
    </row>
    <row customHeight="1" ht="19.5">
      <c r="A11" s="1709"/>
      <c r="B11" s="2089" t="s">
        <v>9</v>
      </c>
      <c r="C11" s="2090"/>
      <c r="D11" s="1715"/>
      <c r="E11" s="1722"/>
      <c r="F11" s="1722"/>
      <c r="G11" s="1722"/>
      <c r="H11" s="1722"/>
      <c r="I11" s="1722"/>
      <c r="J11" s="1722"/>
      <c r="K11" s="1722"/>
      <c r="L11" s="1722"/>
      <c r="M11" s="1722"/>
      <c r="N11" s="1722"/>
      <c r="O11" s="1722"/>
      <c r="P11" s="1722"/>
      <c r="Q11" s="1722"/>
      <c r="R11" s="1722"/>
      <c r="S11" s="1722"/>
      <c r="T11" s="1722"/>
      <c r="U11" s="1722"/>
      <c r="V11" s="1722"/>
      <c r="W11" s="1722"/>
      <c r="X11" s="1722"/>
      <c r="Y11" s="1711"/>
      <c r="Z11" s="1712"/>
      <c r="AA11" s="1713"/>
      <c r="AB11" s="1713"/>
    </row>
    <row customHeight="1" ht="69">
      <c r="A12" s="1709"/>
      <c r="B12" s="2082"/>
      <c r="C12" s="2084"/>
      <c r="D12" s="1723"/>
      <c r="E12" s="2086" t="s">
        <v>10</v>
      </c>
      <c r="F12" s="2086"/>
      <c r="G12" s="2086"/>
      <c r="H12" s="2086"/>
      <c r="I12" s="2086"/>
      <c r="J12" s="2086"/>
      <c r="K12" s="2086"/>
      <c r="L12" s="2086"/>
      <c r="M12" s="2086"/>
      <c r="N12" s="2086"/>
      <c r="O12" s="2086"/>
      <c r="P12" s="2086"/>
      <c r="Q12" s="2086"/>
      <c r="R12" s="2086"/>
      <c r="S12" s="2086"/>
      <c r="T12" s="2086"/>
      <c r="U12" s="2086"/>
      <c r="V12" s="2086"/>
      <c r="W12" s="2086"/>
      <c r="X12" s="2086"/>
      <c r="Y12" s="1711"/>
      <c r="Z12" s="1712"/>
      <c r="AA12" s="1713"/>
      <c r="AB12" s="1713"/>
    </row>
    <row customHeight="1" ht="15">
      <c r="A13" s="1709"/>
      <c r="B13" s="2089" t="s">
        <v>11</v>
      </c>
      <c r="C13" s="2090"/>
      <c r="D13" s="1710"/>
      <c r="E13" s="1722"/>
      <c r="F13" s="1722"/>
      <c r="G13" s="1722"/>
      <c r="H13" s="1722"/>
      <c r="I13" s="1722"/>
      <c r="J13" s="1722"/>
      <c r="K13" s="1722"/>
      <c r="L13" s="1722"/>
      <c r="M13" s="1722"/>
      <c r="N13" s="1722"/>
      <c r="O13" s="1722"/>
      <c r="P13" s="1722"/>
      <c r="Q13" s="1722"/>
      <c r="R13" s="1722"/>
      <c r="S13" s="1722"/>
      <c r="T13" s="1722"/>
      <c r="U13" s="1722"/>
      <c r="V13" s="1722"/>
      <c r="W13" s="1722"/>
      <c r="X13" s="1722"/>
      <c r="Y13" s="1711"/>
      <c r="Z13" s="1712"/>
      <c r="AA13" s="1713"/>
      <c r="AB13" s="1713"/>
    </row>
    <row customHeight="1" ht="57">
      <c r="A14" s="1709"/>
      <c r="B14" s="2082"/>
      <c r="C14" s="2083"/>
      <c r="D14" s="1715"/>
      <c r="E14" s="2093" t="s">
        <v>12</v>
      </c>
      <c r="F14" s="2093"/>
      <c r="G14" s="2093"/>
      <c r="H14" s="2093"/>
      <c r="I14" s="2093"/>
      <c r="J14" s="2093"/>
      <c r="K14" s="2093"/>
      <c r="L14" s="2093"/>
      <c r="M14" s="2093"/>
      <c r="N14" s="2093"/>
      <c r="O14" s="2093"/>
      <c r="P14" s="2093"/>
      <c r="Q14" s="2093"/>
      <c r="R14" s="2093"/>
      <c r="S14" s="2093"/>
      <c r="T14" s="2093"/>
      <c r="U14" s="2093"/>
      <c r="V14" s="2093"/>
      <c r="W14" s="2093"/>
      <c r="X14" s="2093"/>
      <c r="Y14" s="1711"/>
      <c r="Z14" s="1712"/>
      <c r="AA14" s="1713"/>
      <c r="AB14" s="1713"/>
    </row>
    <row customHeight="1" ht="16.5">
      <c r="A15" s="1709"/>
      <c r="B15" s="2091"/>
      <c r="C15" s="2092"/>
      <c r="D15" s="1724"/>
      <c r="E15" s="1725"/>
      <c r="F15" s="1725"/>
      <c r="G15" s="1725"/>
      <c r="H15" s="1725"/>
      <c r="I15" s="1725"/>
      <c r="J15" s="1725"/>
      <c r="K15" s="1725"/>
      <c r="L15" s="1725"/>
      <c r="M15" s="1725"/>
      <c r="N15" s="1725"/>
      <c r="O15" s="1725"/>
      <c r="P15" s="1725"/>
      <c r="Q15" s="1725"/>
      <c r="R15" s="1725"/>
      <c r="S15" s="1725"/>
      <c r="T15" s="1725"/>
      <c r="U15" s="1725"/>
      <c r="V15" s="1725"/>
      <c r="W15" s="1725"/>
      <c r="X15" s="1725"/>
      <c r="Y15" s="1726"/>
      <c r="Z15" s="1712"/>
      <c r="AA15" s="1727"/>
      <c r="AB15" s="1713"/>
    </row>
    <row customHeight="1" ht="95.25">
      <c r="A16" s="1701"/>
      <c r="B16" s="2093"/>
      <c r="C16" s="2094"/>
      <c r="D16" s="2094"/>
      <c r="E16" s="2094"/>
      <c r="F16" s="2094"/>
      <c r="G16" s="2094"/>
      <c r="H16" s="2094"/>
      <c r="I16" s="2094"/>
      <c r="J16" s="2094"/>
      <c r="K16" s="2094"/>
      <c r="L16" s="2094"/>
      <c r="M16" s="2094"/>
      <c r="N16" s="2094"/>
      <c r="O16" s="2094"/>
      <c r="P16" s="2094"/>
      <c r="Q16" s="2094"/>
      <c r="R16" s="2094"/>
      <c r="S16" s="2094"/>
      <c r="T16" s="2094"/>
      <c r="U16" s="2094"/>
      <c r="V16" s="2094"/>
      <c r="W16" s="2094"/>
      <c r="X16" s="2094"/>
      <c r="Y16" s="2094"/>
      <c r="Z16" s="1701"/>
      <c r="AA16" s="1703"/>
      <c r="AB16" s="1701"/>
    </row>
    <row customHeight="1" ht="14.25">
      <c r="A17" s="1701"/>
      <c r="B17" s="1701"/>
      <c r="C17" s="1701"/>
      <c r="D17" s="1701"/>
      <c r="E17" s="1701"/>
      <c r="F17" s="1701"/>
      <c r="G17" s="1701"/>
      <c r="H17" s="1701"/>
      <c r="I17" s="1701"/>
      <c r="J17" s="1701"/>
      <c r="K17" s="1701"/>
      <c r="L17" s="1701"/>
      <c r="M17" s="1701"/>
      <c r="N17" s="1701"/>
      <c r="O17" s="1701"/>
      <c r="P17" s="1701"/>
      <c r="Q17" s="1701"/>
      <c r="R17" s="1701"/>
      <c r="S17" s="1701"/>
      <c r="T17" s="1701"/>
      <c r="U17" s="1701"/>
      <c r="V17" s="1701"/>
      <c r="W17" s="1701"/>
      <c r="X17" s="1701"/>
      <c r="Y17" s="1702"/>
      <c r="Z17" s="1701"/>
      <c r="AA17" s="1703"/>
      <c r="AB17" s="1701"/>
    </row>
    <row customHeight="1" ht="14.25">
      <c r="A18" s="1701"/>
      <c r="B18" s="1701"/>
      <c r="C18" s="1701"/>
      <c r="D18" s="1701"/>
      <c r="E18" s="1701"/>
      <c r="F18" s="1701"/>
      <c r="G18" s="1701"/>
      <c r="H18" s="1701"/>
      <c r="I18" s="1701"/>
      <c r="J18" s="1701"/>
      <c r="K18" s="1701"/>
      <c r="L18" s="1701"/>
      <c r="M18" s="1701"/>
      <c r="N18" s="1701"/>
      <c r="O18" s="1701"/>
      <c r="P18" s="1701"/>
      <c r="Q18" s="1701"/>
      <c r="R18" s="1701"/>
      <c r="S18" s="1701"/>
      <c r="T18" s="1701"/>
      <c r="U18" s="1701"/>
      <c r="V18" s="1701"/>
      <c r="W18" s="1701"/>
      <c r="X18" s="1701"/>
      <c r="Y18" s="1702"/>
      <c r="Z18" s="1701"/>
      <c r="AA18" s="1703"/>
      <c r="AB18" s="1701"/>
    </row>
    <row customHeight="1" ht="14.25">
      <c r="A19" s="1701"/>
      <c r="B19" s="1701"/>
      <c r="C19" s="1701"/>
      <c r="D19" s="1701"/>
      <c r="E19" s="1701"/>
      <c r="F19" s="1701"/>
      <c r="G19" s="1701"/>
      <c r="H19" s="1701"/>
      <c r="I19" s="1701"/>
      <c r="J19" s="1701"/>
      <c r="K19" s="1701"/>
      <c r="L19" s="1701"/>
      <c r="M19" s="1701"/>
      <c r="N19" s="1701"/>
      <c r="O19" s="1701"/>
      <c r="P19" s="1701"/>
      <c r="Q19" s="1701"/>
      <c r="R19" s="1701"/>
      <c r="S19" s="1701"/>
      <c r="T19" s="1701"/>
      <c r="U19" s="1701"/>
      <c r="V19" s="1701"/>
      <c r="W19" s="1701"/>
      <c r="X19" s="1701"/>
      <c r="Y19" s="1702"/>
      <c r="Z19" s="1701"/>
      <c r="AA19" s="1703"/>
      <c r="AB19" s="1701"/>
    </row>
    <row customHeight="1" ht="14.25">
      <c r="A20" s="1701"/>
      <c r="B20" s="1701"/>
      <c r="C20" s="1701"/>
      <c r="D20" s="1701"/>
      <c r="E20" s="1701"/>
      <c r="F20" s="1701"/>
      <c r="G20" s="1701"/>
      <c r="H20" s="1701"/>
      <c r="I20" s="1701"/>
      <c r="J20" s="1701"/>
      <c r="K20" s="1701"/>
      <c r="L20" s="1701"/>
      <c r="M20" s="1701"/>
      <c r="N20" s="1701"/>
      <c r="O20" s="1701"/>
      <c r="P20" s="1701"/>
      <c r="Q20" s="1701"/>
      <c r="R20" s="1701"/>
      <c r="S20" s="1701"/>
      <c r="T20" s="1701"/>
      <c r="U20" s="1701"/>
      <c r="V20" s="1701"/>
      <c r="W20" s="1701"/>
      <c r="X20" s="1701"/>
      <c r="Y20" s="1702"/>
      <c r="Z20" s="1701"/>
      <c r="AA20" s="1703"/>
      <c r="AB20" s="1701"/>
    </row>
    <row customHeight="1" ht="14.25">
      <c r="A21" s="1701"/>
      <c r="B21" s="1701"/>
      <c r="C21" s="1701"/>
      <c r="D21" s="1701"/>
      <c r="E21" s="1701"/>
      <c r="F21" s="1701"/>
      <c r="G21" s="1701"/>
      <c r="H21" s="1701"/>
      <c r="I21" s="1701"/>
      <c r="J21" s="1701"/>
      <c r="K21" s="1701"/>
      <c r="L21" s="1701"/>
      <c r="M21" s="1701"/>
      <c r="N21" s="1701"/>
      <c r="O21" s="1701"/>
      <c r="P21" s="1701"/>
      <c r="Q21" s="1701"/>
      <c r="R21" s="1701"/>
      <c r="S21" s="1701"/>
      <c r="T21" s="1701"/>
      <c r="U21" s="1701"/>
      <c r="V21" s="1701"/>
      <c r="W21" s="1701"/>
      <c r="X21" s="1701"/>
      <c r="Y21" s="1702"/>
      <c r="Z21" s="1701"/>
      <c r="AA21" s="1703"/>
      <c r="AB21" s="1701"/>
    </row>
  </sheetData>
  <sheetProtection formatColumns="0" formatRows="0" sort="0" autoFilter="0" insertRows="0" insertColumns="1" deleteRows="0" deleteColumns="0"/>
  <mergeCells count="13">
    <mergeCell ref="B11:C12"/>
    <mergeCell ref="E12:X12"/>
    <mergeCell ref="B13:C15"/>
    <mergeCell ref="E14:X14"/>
    <mergeCell ref="B16:Y16"/>
    <mergeCell ref="B2:P2"/>
    <mergeCell ref="B3:P3"/>
    <mergeCell ref="B5:Y5"/>
    <mergeCell ref="B6:C10"/>
    <mergeCell ref="F8:M8"/>
    <mergeCell ref="P8:X8"/>
    <mergeCell ref="F9:M9"/>
    <mergeCell ref="P9:X9"/>
  </mergeCell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ED2DAB1-61AC-A7E6-56B5-716B400A7613}" mc:Ignorable="x14ac xr xr2 xr3">
  <sheetPr>
    <tabColor theme="3" tint="0.6"/>
  </sheetPr>
  <dimension ref="A1:W19"/>
  <sheetViews>
    <sheetView showGridLines="0" zoomScale="90" workbookViewId="0">
      <pane xSplit="6" ySplit="11" topLeftCell="G12" activePane="bottomRight" state="frozen"/>
      <selection pane="bottomLeft" activeCell="A12" sqref="A12"/>
      <selection pane="topRight" activeCell="G1" sqref="G1"/>
      <selection pane="bottomRight" activeCell="A1" sqref="A1"/>
    </sheetView>
  </sheetViews>
  <sheetFormatPr defaultColWidth="10.57421875" customHeight="1" defaultRowHeight="14.25"/>
  <cols>
    <col min="1" max="1" style="1632" width="9.140625" hidden="1" customWidth="1"/>
    <col min="2" max="3" style="1635" width="9.140625" hidden="1" customWidth="1"/>
    <col min="4" max="4" style="1842" width="3.00390625" customWidth="1"/>
    <col min="5" max="5" style="1635" width="6.00390625" customWidth="1"/>
    <col min="6" max="6" style="1635" width="1.7109375" hidden="1" customWidth="1"/>
    <col min="7" max="8" style="1635" width="30.00390625" customWidth="1"/>
    <col min="9" max="9" style="1635" width="8.00390625" customWidth="1"/>
    <col min="10" max="10" style="1635" width="12.140625" customWidth="1"/>
    <col min="11" max="11" style="1635" width="46.00390625" customWidth="1"/>
    <col min="12" max="12" style="1635" width="100.00390625" customWidth="1"/>
    <col min="13" max="13" style="1819" width="7.00390625" customWidth="1"/>
    <col min="14" max="22" style="1635" width="10.00390625" customWidth="1"/>
    <col min="23" max="23" style="1635" width="10.57421875" hidden="1"/>
  </cols>
  <sheetData>
    <row s="1642" customFormat="1" customHeight="1" ht="5.25" hidden="1">
      <c r="C1" s="511"/>
      <c r="D1" s="494"/>
      <c r="F1" s="511"/>
      <c r="G1" s="489" t="s">
        <v>83</v>
      </c>
      <c r="H1" s="489" t="s">
        <v>84</v>
      </c>
      <c r="I1" s="489" t="s">
        <v>85</v>
      </c>
      <c r="P1" s="489" t="s">
        <v>83</v>
      </c>
      <c r="Q1" s="489" t="s">
        <v>84</v>
      </c>
      <c r="R1" s="489" t="s">
        <v>85</v>
      </c>
      <c r="W1" s="489" t="s">
        <v>14</v>
      </c>
    </row>
    <row s="1642" customFormat="1" customHeight="1" ht="5.25" hidden="1">
      <c r="C2" s="511"/>
      <c r="D2" s="494"/>
      <c r="F2" s="511"/>
      <c r="W2" s="489">
        <v>0</v>
      </c>
    </row>
    <row s="1612" customFormat="1" customHeight="1" ht="5.25">
      <c r="A3" s="479"/>
      <c r="D3" s="486"/>
      <c r="E3" s="481"/>
      <c r="F3" s="481"/>
      <c r="G3" s="481"/>
      <c r="H3" s="481"/>
      <c r="I3" s="482"/>
      <c r="J3" s="483"/>
      <c r="K3" s="483"/>
      <c r="L3" s="483"/>
      <c r="W3" s="480">
        <v>5</v>
      </c>
    </row>
    <row customHeight="1" ht="23.25">
      <c r="D4" s="450"/>
      <c r="E4" s="2238" t="s">
        <v>390</v>
      </c>
      <c r="F4" s="2238"/>
      <c r="G4" s="2239"/>
      <c r="H4" s="2239"/>
      <c r="I4" s="2240"/>
      <c r="J4" s="491"/>
      <c r="K4" s="453"/>
      <c r="L4" s="453"/>
      <c r="W4" s="447">
        <v>22</v>
      </c>
    </row>
    <row s="1635" customFormat="1" customHeight="1" ht="18">
      <c r="A5" s="759"/>
      <c r="D5" s="822"/>
      <c r="E5" s="2214" t="str">
        <f>IF(org=0,"Не определено",org)</f>
        <v>ПАО "ОГК-2"</v>
      </c>
      <c r="F5" s="2214"/>
      <c r="G5" s="2215"/>
      <c r="H5" s="2215"/>
      <c r="I5" s="2216"/>
      <c r="J5" s="491"/>
      <c r="K5" s="453"/>
      <c r="L5" s="453"/>
      <c r="M5" s="507"/>
      <c r="W5" s="758">
        <v>17</v>
      </c>
    </row>
    <row s="1612" customFormat="1" customHeight="1" ht="11.549999999999999">
      <c r="A6" s="479"/>
      <c r="D6" s="486"/>
      <c r="E6" s="481"/>
      <c r="F6" s="481"/>
      <c r="G6" s="484"/>
      <c r="H6" s="484"/>
      <c r="I6" s="485"/>
      <c r="J6" s="485"/>
      <c r="K6" s="752"/>
      <c r="L6" s="485"/>
      <c r="W6" s="480">
        <v>11</v>
      </c>
    </row>
    <row customHeight="1" ht="14.699999999999998">
      <c r="D7" s="450"/>
      <c r="E7" s="2208" t="s">
        <v>302</v>
      </c>
      <c r="F7" s="2208"/>
      <c r="G7" s="2209"/>
      <c r="H7" s="2209"/>
      <c r="I7" s="2209"/>
      <c r="J7" s="2209"/>
      <c r="K7" s="2209"/>
      <c r="L7" s="2223" t="s">
        <v>303</v>
      </c>
      <c r="W7" s="447">
        <v>14</v>
      </c>
    </row>
    <row customHeight="1" ht="48.29999999999999">
      <c r="D8" s="450"/>
      <c r="E8" s="473" t="s">
        <v>88</v>
      </c>
      <c r="F8" s="823"/>
      <c r="G8" s="465" t="s">
        <v>86</v>
      </c>
      <c r="H8" s="465" t="s">
        <v>87</v>
      </c>
      <c r="I8" s="414" t="s">
        <v>85</v>
      </c>
      <c r="J8" s="414" t="s">
        <v>391</v>
      </c>
      <c r="K8" s="414" t="s">
        <v>392</v>
      </c>
      <c r="L8" s="2223"/>
      <c r="W8" s="447">
        <v>46</v>
      </c>
    </row>
    <row customHeight="1" ht="12" hidden="1">
      <c r="D9" s="487"/>
      <c r="E9" s="493"/>
      <c r="F9" s="830"/>
      <c r="G9" s="493"/>
      <c r="H9" s="493"/>
      <c r="I9" s="493"/>
      <c r="J9" s="493"/>
      <c r="K9" s="493"/>
      <c r="L9" s="493"/>
      <c r="M9" s="447"/>
      <c r="W9" s="447">
        <v>0</v>
      </c>
    </row>
    <row customHeight="1" ht="14.25" hidden="1">
      <c r="A10" s="505"/>
      <c r="B10" s="505"/>
      <c r="D10" s="506"/>
      <c r="E10" s="512">
        <v>0</v>
      </c>
      <c r="F10" s="821"/>
      <c r="G10" s="508"/>
      <c r="H10" s="508"/>
      <c r="I10" s="508"/>
      <c r="J10" s="508"/>
      <c r="K10" s="508"/>
      <c r="L10" s="2221" t="s">
        <v>393</v>
      </c>
      <c r="M10" s="507"/>
      <c r="N10" s="505"/>
      <c r="O10" s="505"/>
      <c r="P10" s="505"/>
      <c r="Q10" s="505"/>
      <c r="R10" s="505"/>
      <c r="S10" s="505"/>
      <c r="T10" s="505"/>
      <c r="U10" s="505"/>
      <c r="V10" s="505"/>
      <c r="W10" s="447">
        <v>0</v>
      </c>
    </row>
    <row customHeight="1" ht="15" hidden="1">
      <c r="A11" s="2099"/>
      <c r="B11" s="504"/>
      <c r="C11" s="504"/>
      <c r="D11" s="865"/>
      <c r="E11" s="513"/>
      <c r="F11" s="513"/>
      <c r="G11" s="513"/>
      <c r="H11" s="513"/>
      <c r="I11" s="514"/>
      <c r="J11" s="515"/>
      <c r="K11" s="713"/>
      <c r="L11" s="2241"/>
      <c r="M11" s="511"/>
      <c r="N11" s="511"/>
      <c r="O11" s="511"/>
      <c r="P11" s="516"/>
      <c r="Q11" s="516"/>
      <c r="R11" s="517"/>
      <c r="S11" s="511"/>
      <c r="T11" s="511"/>
      <c r="U11" s="511"/>
      <c r="V11" s="511"/>
      <c r="W11" s="447">
        <v>0</v>
      </c>
    </row>
    <row s="1612" customFormat="1" customHeight="1" ht="15">
      <c r="A12" s="2099"/>
      <c r="B12" s="504"/>
      <c r="C12" s="504"/>
      <c r="D12" s="866"/>
      <c r="E12" s="823">
        <v>1</v>
      </c>
      <c r="F12" s="864">
        <v>23</v>
      </c>
      <c r="G12" s="863"/>
      <c r="H12" s="793"/>
      <c r="I12" s="791"/>
      <c r="J12" s="520" t="s">
        <v>66</v>
      </c>
      <c r="K12" s="1164" t="s">
        <v>22</v>
      </c>
      <c r="L12" s="2241"/>
      <c r="M12" s="511"/>
      <c r="N12" s="511"/>
      <c r="O12" s="511"/>
      <c r="P12" s="516" t="s">
        <v>394</v>
      </c>
      <c r="Q12" s="516" t="s">
        <v>395</v>
      </c>
      <c r="R12" s="517" t="s">
        <v>396</v>
      </c>
      <c r="S12" s="511" t="s">
        <v>397</v>
      </c>
      <c r="T12" s="511"/>
      <c r="U12" s="511"/>
      <c r="V12" s="511"/>
      <c r="W12" s="480">
        <v>14</v>
      </c>
    </row>
    <row customHeight="1" ht="15.75">
      <c r="A13" s="2099"/>
      <c r="B13" s="505"/>
      <c r="D13" s="506"/>
      <c r="E13" s="405"/>
      <c r="F13" s="529"/>
      <c r="G13" s="416" t="s">
        <v>102</v>
      </c>
      <c r="H13" s="404"/>
      <c r="I13" s="404"/>
      <c r="J13" s="404"/>
      <c r="K13" s="403"/>
      <c r="L13" s="2222"/>
      <c r="M13" s="509"/>
      <c r="N13" s="505"/>
      <c r="O13" s="505"/>
      <c r="P13" s="505"/>
      <c r="Q13" s="505"/>
      <c r="R13" s="505"/>
      <c r="S13" s="505"/>
      <c r="T13" s="505"/>
      <c r="U13" s="505"/>
      <c r="V13" s="505"/>
      <c r="W13" s="447">
        <v>15</v>
      </c>
    </row>
    <row customHeight="1" ht="11.549999999999999">
      <c r="A14" s="479"/>
      <c r="B14" s="480"/>
      <c r="C14" s="480"/>
      <c r="D14" s="495"/>
      <c r="E14" s="480"/>
      <c r="F14" s="480"/>
      <c r="G14" s="480"/>
      <c r="H14" s="480"/>
      <c r="I14" s="480"/>
      <c r="J14" s="480"/>
      <c r="K14" s="480"/>
      <c r="L14" s="480"/>
      <c r="M14" s="480"/>
      <c r="N14" s="480"/>
      <c r="O14" s="480"/>
      <c r="P14" s="480"/>
      <c r="Q14" s="480"/>
      <c r="R14" s="480"/>
      <c r="S14" s="480"/>
      <c r="T14" s="480"/>
      <c r="U14" s="480"/>
      <c r="V14" s="480"/>
      <c r="W14" s="447">
        <v>11</v>
      </c>
    </row>
    <row customHeight="1" ht="14.699999999999998">
      <c r="D15" s="466"/>
      <c r="E15" s="336"/>
      <c r="F15" s="336"/>
      <c r="G15" s="664" t="str">
        <f>"&lt;1&gt; Указывается информация по муниципальным районам и муниципальным образованиям, на территории которых регулируемая организация осуществляет "&amp;IF(TEMPLATE_SPHERE&lt;&gt;"TKO","регулируемый вид деятельности в сфере "&amp;TEMPLATE_SPHERE_RUS&amp;".","деятельность в области обращения с "&amp;TEMPLATE_SPHERE_RUS_2&amp;".")</f>
        <v>&lt;1&gt; Указывается информация по муниципальным районам и муниципальным образованиям, на территории которых регулируемая организация осуществляет регулируемый вид деятельности в сфере теплоснабжения.</v>
      </c>
      <c r="H15" s="466"/>
      <c r="I15" s="466"/>
      <c r="J15" s="466"/>
      <c r="K15" s="466"/>
      <c r="L15" s="466"/>
      <c r="W15" s="447">
        <v>14</v>
      </c>
    </row>
    <row customHeight="1" ht="14.699999999999998">
      <c r="W16" s="447">
        <v>14</v>
      </c>
    </row>
    <row customHeight="1" ht="14.699999999999998">
      <c r="W17" s="447">
        <v>14</v>
      </c>
    </row>
    <row customHeight="1" ht="14.699999999999998">
      <c r="G18" s="505"/>
      <c r="W18" s="447">
        <v>14</v>
      </c>
    </row>
    <row customHeight="1" ht="22.5" hidden="1">
      <c r="A19" s="449" t="s">
        <v>82</v>
      </c>
      <c r="B19" s="447">
        <v>0</v>
      </c>
      <c r="C19" s="758">
        <v>0</v>
      </c>
      <c r="D19" s="451">
        <v>3</v>
      </c>
      <c r="E19" s="447">
        <v>6</v>
      </c>
      <c r="F19" s="758">
        <v>0</v>
      </c>
      <c r="G19" s="447">
        <v>30</v>
      </c>
      <c r="H19" s="447">
        <v>30</v>
      </c>
      <c r="I19" s="447">
        <v>8</v>
      </c>
      <c r="J19" s="447">
        <v>12</v>
      </c>
      <c r="K19" s="447">
        <v>46</v>
      </c>
      <c r="L19" s="447">
        <v>100</v>
      </c>
      <c r="M19" s="452">
        <v>7</v>
      </c>
      <c r="N19" s="447">
        <v>10</v>
      </c>
      <c r="O19" s="447">
        <v>10</v>
      </c>
      <c r="P19" s="447">
        <v>10</v>
      </c>
      <c r="Q19" s="447">
        <v>10</v>
      </c>
      <c r="R19" s="447">
        <v>10</v>
      </c>
      <c r="S19" s="447">
        <v>10</v>
      </c>
      <c r="T19" s="447">
        <v>10</v>
      </c>
      <c r="U19" s="447">
        <v>10</v>
      </c>
      <c r="V19" s="447">
        <v>10</v>
      </c>
      <c r="W19" s="447">
        <v>23</v>
      </c>
    </row>
  </sheetData>
  <sheetProtection formatColumns="0" formatRows="0" sort="0" autoFilter="0" insertRows="0" insertColumns="1" deleteRows="0" deleteColumns="0"/>
  <mergeCells count="6">
    <mergeCell ref="A11:A13"/>
    <mergeCell ref="E4:I4"/>
    <mergeCell ref="E7:K7"/>
    <mergeCell ref="L7:L8"/>
    <mergeCell ref="L10:L13"/>
    <mergeCell ref="E5:I5"/>
  </mergeCells>
  <dataValidations count="3">
    <dataValidation type="decimal" allowBlank="1" showErrorMessage="1" errorTitle="Ошибка" error="Допускается ввод только неотрицательных чисел!" sqref="G10:K10">
      <formula1>0</formula1>
      <formula2>9.99999999999999E+23</formula2>
    </dataValidation>
    <dataValidation allowBlank="1" showInputMessage="1" showErrorMessage="1" prompt="Изменение значения по двойному щелчоку левой кнопки мыши" sqref="J1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K12">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6BA3F38-48D3-D821-89B8-EF265E83A327}" mc:Ignorable="x14ac xr xr2 xr3">
  <sheetPr>
    <tabColor theme="6" tint="0.4"/>
  </sheetPr>
  <dimension ref="A1:AS65"/>
  <sheetViews>
    <sheetView showGridLines="0" zoomScale="90" workbookViewId="0">
      <pane xSplit="29" ySplit="42" topLeftCell="AD43" activePane="bottomRight" state="frozen"/>
      <selection pane="bottomLeft" activeCell="A43" sqref="A43"/>
      <selection pane="topRight" activeCell="AD1" sqref="AD1"/>
      <selection pane="bottomRight" activeCell="A1" sqref="A1"/>
    </sheetView>
  </sheetViews>
  <sheetFormatPr defaultColWidth="10.57421875" customHeight="1" defaultRowHeight="14.25"/>
  <cols>
    <col min="1" max="1" style="1366" width="10.57421875" hidden="1"/>
    <col min="2" max="2" style="1366" width="11.00390625" hidden="1" customWidth="1"/>
    <col min="3" max="3" style="1366" width="10.57421875" hidden="1"/>
    <col min="4" max="4" style="1366" width="11.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2.00390625" hidden="1" customWidth="1"/>
    <col min="10" max="10" style="1366" width="9.8515625" hidden="1" customWidth="1"/>
    <col min="11" max="11" style="1366" width="11.421875" hidden="1" customWidth="1"/>
    <col min="12" max="12" style="2607" width="19.140625" hidden="1" customWidth="1"/>
    <col min="13" max="14" style="1776" width="12.28125" hidden="1" customWidth="1"/>
    <col min="15" max="15" style="1776" width="23.421875" hidden="1" customWidth="1"/>
    <col min="16" max="16" style="2397" width="3.00390625" customWidth="1"/>
    <col min="17" max="18" style="344" width="3.00390625" customWidth="1"/>
    <col min="19" max="19" style="2407" width="12.00390625" customWidth="1"/>
    <col min="20" max="20" style="1635" width="35.00390625" customWidth="1"/>
    <col min="21" max="21" style="1635" width="0.140625" customWidth="1"/>
    <col min="22" max="22" style="1635" width="24.7109375" hidden="1" customWidth="1"/>
    <col min="23" max="23" style="1635" width="0.140625" hidden="1" customWidth="1"/>
    <col min="24" max="25" style="1635" width="24.7109375" hidden="1" customWidth="1"/>
    <col min="26" max="26" style="1635" width="11.7109375" hidden="1" customWidth="1"/>
    <col min="27" max="27" style="1635" width="3.7109375" hidden="1" customWidth="1"/>
    <col min="28" max="28" style="1635" width="11.7109375" hidden="1" customWidth="1"/>
    <col min="29" max="29" style="1635" width="8.57421875" hidden="1" customWidth="1"/>
    <col min="30" max="30" style="1635" width="24.7109375" customWidth="1"/>
    <col min="31" max="31" style="1635" width="0.140625" customWidth="1"/>
    <col min="32" max="33" style="1635" width="24.00390625" customWidth="1"/>
    <col min="34" max="34" style="1635" width="11.00390625" customWidth="1"/>
    <col min="35" max="35" style="1635" width="3.7109375" customWidth="1"/>
    <col min="36" max="36" style="1635" width="11.00390625" customWidth="1"/>
    <col min="37" max="37" style="1635" width="8.57421875" hidden="1" customWidth="1"/>
    <col min="38" max="38" style="1635" width="4.00390625" customWidth="1"/>
    <col min="39" max="39" style="1635" width="115.00390625" customWidth="1"/>
    <col min="40" max="44" style="1642" width="10.00390625" customWidth="1"/>
    <col min="45" max="45" style="1635" width="10.57421875" hidden="1"/>
  </cols>
  <sheetData>
    <row customHeight="1" ht="22.5" hidden="1">
      <c r="Y1" s="327"/>
      <c r="Z1" s="327"/>
      <c r="AG1" s="327"/>
      <c r="AH1" s="327"/>
      <c r="AS1" s="1155" t="s">
        <v>14</v>
      </c>
    </row>
    <row customHeight="1" ht="21" hidden="1">
      <c r="A2" s="1363"/>
      <c r="B2" s="1363"/>
      <c r="C2" s="1363"/>
      <c r="D2" s="1363"/>
      <c r="E2" s="2258">
        <v>1</v>
      </c>
      <c r="F2" s="1363"/>
      <c r="G2" s="1363"/>
      <c r="H2" s="1363"/>
      <c r="I2" s="1363"/>
      <c r="J2" s="1363"/>
      <c r="K2" s="1363"/>
      <c r="L2" s="1364"/>
      <c r="M2" s="1365"/>
      <c r="N2" s="1365"/>
      <c r="O2" s="1365"/>
      <c r="P2" s="361"/>
      <c r="Q2" s="360"/>
      <c r="R2" s="355"/>
      <c r="S2" s="1309">
        <f>INDEX(PT_DIFFERENTIATION_NUM_NTAR,MATCH(A2,PT_DIFFERENTIATION_NTAR_ID,0))</f>
      </c>
      <c r="T2" s="298" t="s">
        <v>127</v>
      </c>
      <c r="U2" s="300"/>
      <c r="V2" s="2242"/>
      <c r="W2" s="2243"/>
      <c r="X2" s="2243"/>
      <c r="Y2" s="2243"/>
      <c r="Z2" s="2243"/>
      <c r="AA2" s="2243"/>
      <c r="AB2" s="2243"/>
      <c r="AC2" s="2244"/>
      <c r="AD2" s="2242">
        <f>INDEX(PT_DIFFERENTIATION_NTAR,MATCH(A2,PT_DIFFERENTIATION_NTAR_ID,0))</f>
      </c>
      <c r="AE2" s="2243"/>
      <c r="AF2" s="2243"/>
      <c r="AG2" s="2243"/>
      <c r="AH2" s="2243"/>
      <c r="AI2" s="2243"/>
      <c r="AJ2" s="2243"/>
      <c r="AK2" s="2243"/>
      <c r="AL2" s="2244"/>
      <c r="AM2" s="1258" t="s">
        <v>398</v>
      </c>
      <c r="AO2" s="500"/>
      <c r="AP2" s="500" t="str">
        <f>IF(T2="","",T2)</f>
        <v>Наименование тарифа</v>
      </c>
      <c r="AQ2" s="500"/>
      <c r="AR2" s="500"/>
      <c r="AS2" s="1155">
        <v>0</v>
      </c>
    </row>
    <row customHeight="1" ht="21" hidden="1">
      <c r="A3" s="1363"/>
      <c r="B3" s="1363"/>
      <c r="C3" s="1363"/>
      <c r="D3" s="1363"/>
      <c r="E3" s="2259"/>
      <c r="F3" s="2258">
        <v>1</v>
      </c>
      <c r="G3" s="1363"/>
      <c r="H3" s="1363"/>
      <c r="I3" s="1363"/>
      <c r="J3" s="1363"/>
      <c r="K3" s="1363"/>
      <c r="L3" s="1364"/>
      <c r="M3" s="1365"/>
      <c r="N3" s="1365"/>
      <c r="O3" s="1365"/>
      <c r="P3" s="1304"/>
      <c r="Q3" s="352"/>
      <c r="R3" s="353"/>
      <c r="S3" s="1309">
        <f>INDEX(PT_DIFFERENTIATION_NUM_TER,MATCH(B3,PT_DIFFERENTIATION_TER_ID,0))</f>
      </c>
      <c r="T3" s="308" t="s">
        <v>399</v>
      </c>
      <c r="U3" s="300"/>
      <c r="V3" s="2242"/>
      <c r="W3" s="2243"/>
      <c r="X3" s="2243"/>
      <c r="Y3" s="2243"/>
      <c r="Z3" s="2243"/>
      <c r="AA3" s="2243"/>
      <c r="AB3" s="2243"/>
      <c r="AC3" s="2244"/>
      <c r="AD3" s="2242">
        <f>INDEX(PT_DIFFERENTIATION_TER,MATCH(B3,PT_DIFFERENTIATION_TER_ID,0))</f>
      </c>
      <c r="AE3" s="2243"/>
      <c r="AF3" s="2243"/>
      <c r="AG3" s="2243"/>
      <c r="AH3" s="2243"/>
      <c r="AI3" s="2243"/>
      <c r="AJ3" s="2243"/>
      <c r="AK3" s="2243"/>
      <c r="AL3" s="2244"/>
      <c r="AM3" s="1258" t="s">
        <v>400</v>
      </c>
      <c r="AO3" s="500"/>
      <c r="AP3" s="500" t="str">
        <f>IF(T3="","",T3)</f>
        <v>Территория действия тарифа</v>
      </c>
      <c r="AQ3" s="500"/>
      <c r="AR3" s="500"/>
      <c r="AS3" s="1155">
        <v>0</v>
      </c>
    </row>
    <row customHeight="1" ht="23.25" hidden="1">
      <c r="A4" s="1363"/>
      <c r="B4" s="1363"/>
      <c r="C4" s="1363"/>
      <c r="D4" s="1363"/>
      <c r="E4" s="2259"/>
      <c r="F4" s="2259"/>
      <c r="G4" s="2258">
        <v>1</v>
      </c>
      <c r="H4" s="1363"/>
      <c r="I4" s="1363"/>
      <c r="J4" s="1363"/>
      <c r="K4" s="1363"/>
      <c r="L4" s="1364"/>
      <c r="M4" s="1365"/>
      <c r="N4" s="1365"/>
      <c r="O4" s="1365"/>
      <c r="P4" s="354"/>
      <c r="Q4" s="352"/>
      <c r="R4" s="353"/>
      <c r="S4" s="1309">
        <f>INDEX(PT_DIFFERENTIATION_NUM_CS,MATCH(C4,PT_DIFFERENTIATION_CS_ID,0))</f>
      </c>
      <c r="T4" s="309" t="s">
        <v>401</v>
      </c>
      <c r="U4" s="300"/>
      <c r="V4" s="2242"/>
      <c r="W4" s="2243"/>
      <c r="X4" s="2243"/>
      <c r="Y4" s="2243"/>
      <c r="Z4" s="2243"/>
      <c r="AA4" s="2243"/>
      <c r="AB4" s="2243"/>
      <c r="AC4" s="2244"/>
      <c r="AD4" s="2242">
        <f>INDEX(PT_DIFFERENTIATION_CS,MATCH(C4,PT_DIFFERENTIATION_CS_ID,0))</f>
      </c>
      <c r="AE4" s="2243"/>
      <c r="AF4" s="2243"/>
      <c r="AG4" s="2243"/>
      <c r="AH4" s="2243"/>
      <c r="AI4" s="2243"/>
      <c r="AJ4" s="2243"/>
      <c r="AK4" s="2243"/>
      <c r="AL4" s="2244"/>
      <c r="AM4" s="1258" t="s">
        <v>402</v>
      </c>
      <c r="AO4" s="500"/>
      <c r="AP4" s="500" t="str">
        <f>IF(T4="","",T4)</f>
        <v>Наименование системы теплоснабжения </v>
      </c>
      <c r="AQ4" s="500"/>
      <c r="AR4" s="500"/>
      <c r="AS4" s="1155">
        <v>0</v>
      </c>
    </row>
    <row customHeight="1" ht="21" hidden="1">
      <c r="A5" s="1363"/>
      <c r="B5" s="1363"/>
      <c r="C5" s="1363"/>
      <c r="D5" s="1363"/>
      <c r="E5" s="2259"/>
      <c r="F5" s="2259"/>
      <c r="G5" s="2259"/>
      <c r="H5" s="2258">
        <v>1</v>
      </c>
      <c r="I5" s="1363"/>
      <c r="J5" s="1363"/>
      <c r="K5" s="1363"/>
      <c r="L5" s="1364"/>
      <c r="M5" s="1365"/>
      <c r="N5" s="1365"/>
      <c r="O5" s="1365"/>
      <c r="P5" s="354"/>
      <c r="Q5" s="352"/>
      <c r="R5" s="353"/>
      <c r="S5" s="1309">
        <f>INDEX(PT_DIFFERENTIATION_NUM_IST_TE,MATCH(D5,PT_DIFFERENTIATION_IST_TE_ID,0))</f>
      </c>
      <c r="T5" s="310" t="s">
        <v>403</v>
      </c>
      <c r="U5" s="300"/>
      <c r="V5" s="2242"/>
      <c r="W5" s="2243"/>
      <c r="X5" s="2243"/>
      <c r="Y5" s="2243"/>
      <c r="Z5" s="2243"/>
      <c r="AA5" s="2243"/>
      <c r="AB5" s="2243"/>
      <c r="AC5" s="2244"/>
      <c r="AD5" s="2242">
        <f>INDEX(PT_DIFFERENTIATION_IST_TE,MATCH(D5,PT_DIFFERENTIATION_IST_TE_ID,0))</f>
      </c>
      <c r="AE5" s="2243"/>
      <c r="AF5" s="2243"/>
      <c r="AG5" s="2243"/>
      <c r="AH5" s="2243"/>
      <c r="AI5" s="2243"/>
      <c r="AJ5" s="2243"/>
      <c r="AK5" s="2243"/>
      <c r="AL5" s="2244"/>
      <c r="AM5" s="1258" t="s">
        <v>404</v>
      </c>
      <c r="AO5" s="500"/>
      <c r="AP5" s="500" t="str">
        <f>IF(T5="","",T5)</f>
        <v>Источник тепловой энергии  </v>
      </c>
      <c r="AQ5" s="500"/>
      <c r="AR5" s="500"/>
      <c r="AS5" s="1155">
        <v>0</v>
      </c>
    </row>
    <row customHeight="1" ht="47.25" hidden="1">
      <c r="A6" s="1363"/>
      <c r="B6" s="1363"/>
      <c r="C6" s="1363"/>
      <c r="D6" s="1363"/>
      <c r="E6" s="2259"/>
      <c r="F6" s="2259"/>
      <c r="G6" s="2259"/>
      <c r="H6" s="2259"/>
      <c r="I6" s="2256">
        <f>S5&amp;".1"</f>
      </c>
      <c r="J6" s="1363"/>
      <c r="K6" s="1363"/>
      <c r="L6" s="1364" t="s">
        <v>405</v>
      </c>
      <c r="M6" s="537"/>
      <c r="P6" s="2257">
        <v>1</v>
      </c>
      <c r="Q6" s="1305"/>
      <c r="R6" s="356"/>
      <c r="S6" s="1309">
        <f>$I6</f>
      </c>
      <c r="T6" s="285" t="s">
        <v>406</v>
      </c>
      <c r="U6" s="300"/>
      <c r="V6" s="2245"/>
      <c r="W6" s="2246"/>
      <c r="X6" s="2246"/>
      <c r="Y6" s="2246"/>
      <c r="Z6" s="2246"/>
      <c r="AA6" s="2246"/>
      <c r="AB6" s="2246"/>
      <c r="AC6" s="2247"/>
      <c r="AD6" s="2245"/>
      <c r="AE6" s="2246"/>
      <c r="AF6" s="2246"/>
      <c r="AG6" s="2246"/>
      <c r="AH6" s="2246"/>
      <c r="AI6" s="2246"/>
      <c r="AJ6" s="2246"/>
      <c r="AK6" s="2246"/>
      <c r="AL6" s="2247"/>
      <c r="AM6" s="1258" t="s">
        <v>407</v>
      </c>
      <c r="AO6" s="500"/>
      <c r="AP6" s="500" t="str">
        <f>IF(T6="","",T6)</f>
        <v>Схема подключения теплопотребляющей установки к коллектору источника тепловой энергии</v>
      </c>
      <c r="AQ6" s="500"/>
      <c r="AR6" s="500"/>
      <c r="AS6" s="1155">
        <v>0</v>
      </c>
    </row>
    <row customHeight="1" ht="21" hidden="1">
      <c r="A7" s="1363"/>
      <c r="B7" s="1363"/>
      <c r="C7" s="1363"/>
      <c r="D7" s="1363"/>
      <c r="E7" s="2259"/>
      <c r="F7" s="2259"/>
      <c r="G7" s="2259"/>
      <c r="H7" s="2259"/>
      <c r="I7" s="2286"/>
      <c r="J7" s="2256">
        <f>I6&amp;".1"</f>
      </c>
      <c r="K7" s="1363"/>
      <c r="L7" s="1364" t="s">
        <v>408</v>
      </c>
      <c r="M7" s="537"/>
      <c r="N7" s="1366"/>
      <c r="P7" s="2257"/>
      <c r="Q7" s="2257">
        <v>1</v>
      </c>
      <c r="R7" s="357"/>
      <c r="S7" s="1309">
        <f>$J7</f>
      </c>
      <c r="T7" s="286" t="s">
        <v>409</v>
      </c>
      <c r="U7" s="300"/>
      <c r="V7" s="2245"/>
      <c r="W7" s="2246"/>
      <c r="X7" s="2246"/>
      <c r="Y7" s="2246"/>
      <c r="Z7" s="2246"/>
      <c r="AA7" s="2246"/>
      <c r="AB7" s="2246"/>
      <c r="AC7" s="2247"/>
      <c r="AD7" s="2245"/>
      <c r="AE7" s="2246"/>
      <c r="AF7" s="2246"/>
      <c r="AG7" s="2246"/>
      <c r="AH7" s="2246"/>
      <c r="AI7" s="2246"/>
      <c r="AJ7" s="2246"/>
      <c r="AK7" s="2246"/>
      <c r="AL7" s="2247"/>
      <c r="AM7" s="1258" t="s">
        <v>410</v>
      </c>
      <c r="AO7" s="500"/>
      <c r="AP7" s="500" t="str">
        <f>IF(T7="","",T7)</f>
        <v>Группа потребителей</v>
      </c>
      <c r="AQ7" s="500"/>
      <c r="AR7" s="500"/>
      <c r="AS7" s="1155">
        <v>0</v>
      </c>
    </row>
    <row customHeight="1" ht="21" hidden="1">
      <c r="A8" s="1363"/>
      <c r="B8" s="1363"/>
      <c r="C8" s="1363"/>
      <c r="D8" s="1363"/>
      <c r="E8" s="2259"/>
      <c r="F8" s="2259"/>
      <c r="G8" s="2259"/>
      <c r="H8" s="2259"/>
      <c r="I8" s="2286"/>
      <c r="J8" s="2286"/>
      <c r="K8" s="2256">
        <f>J7&amp;".1"</f>
      </c>
      <c r="L8" s="1364" t="s">
        <v>411</v>
      </c>
      <c r="M8" s="537"/>
      <c r="N8" s="1366"/>
      <c r="O8" s="1366"/>
      <c r="P8" s="2257"/>
      <c r="Q8" s="2257"/>
      <c r="R8" s="357">
        <v>1</v>
      </c>
      <c r="S8" s="1309">
        <f>$K8</f>
      </c>
      <c r="T8" s="1347"/>
      <c r="U8" s="300"/>
      <c r="V8" s="751"/>
      <c r="W8" s="325"/>
      <c r="X8" s="751"/>
      <c r="Y8" s="1257"/>
      <c r="Z8" s="2265"/>
      <c r="AA8" s="2107" t="s">
        <v>66</v>
      </c>
      <c r="AB8" s="2265"/>
      <c r="AC8" s="2107" t="s">
        <v>66</v>
      </c>
      <c r="AD8" s="751"/>
      <c r="AE8" s="325"/>
      <c r="AF8" s="751"/>
      <c r="AG8" s="1257"/>
      <c r="AH8" s="2265"/>
      <c r="AI8" s="2107" t="s">
        <v>66</v>
      </c>
      <c r="AJ8" s="2265"/>
      <c r="AK8" s="2107" t="s">
        <v>66</v>
      </c>
      <c r="AL8" s="325"/>
      <c r="AM8" s="2253" t="s">
        <v>412</v>
      </c>
      <c r="AN8" s="511">
        <f>STRCHECKDATE(V9:AL9)</f>
      </c>
      <c r="AO8" s="500"/>
      <c r="AP8" s="500" t="str">
        <f>IF(T8="","",T8)</f>
        <v/>
      </c>
      <c r="AQ8" s="500"/>
      <c r="AR8" s="500"/>
      <c r="AS8" s="1155">
        <v>0</v>
      </c>
    </row>
    <row customHeight="1" ht="0.75" hidden="1">
      <c r="A9" s="1363"/>
      <c r="B9" s="1363"/>
      <c r="C9" s="1363"/>
      <c r="D9" s="1363"/>
      <c r="E9" s="2259"/>
      <c r="F9" s="2259"/>
      <c r="G9" s="2259"/>
      <c r="H9" s="2259"/>
      <c r="I9" s="2286"/>
      <c r="J9" s="2286"/>
      <c r="K9" s="2256"/>
      <c r="L9" s="1364"/>
      <c r="M9" s="537"/>
      <c r="N9" s="1366"/>
      <c r="O9" s="1366"/>
      <c r="P9" s="2257"/>
      <c r="Q9" s="2257"/>
      <c r="R9" s="357"/>
      <c r="S9" s="1306"/>
      <c r="T9" s="300"/>
      <c r="U9" s="300"/>
      <c r="V9" s="325"/>
      <c r="W9" s="325"/>
      <c r="X9" s="325"/>
      <c r="Y9" s="328" t="str">
        <f>Z8&amp;"-"&amp;AB8</f>
        <v>-</v>
      </c>
      <c r="Z9" s="2266"/>
      <c r="AA9" s="2107"/>
      <c r="AB9" s="2266"/>
      <c r="AC9" s="2107"/>
      <c r="AD9" s="325"/>
      <c r="AE9" s="325"/>
      <c r="AF9" s="325"/>
      <c r="AG9" s="328" t="str">
        <f>AH8&amp;"-"&amp;AJ8</f>
        <v>-</v>
      </c>
      <c r="AH9" s="2266"/>
      <c r="AI9" s="2107"/>
      <c r="AJ9" s="2266"/>
      <c r="AK9" s="2107"/>
      <c r="AL9" s="325"/>
      <c r="AM9" s="2254"/>
      <c r="AO9" s="500"/>
      <c r="AP9" s="500" t="str">
        <f>IF(T9="","",T9)</f>
        <v/>
      </c>
      <c r="AQ9" s="500"/>
      <c r="AR9" s="500"/>
      <c r="AS9" s="1155">
        <v>0</v>
      </c>
    </row>
    <row customHeight="1" ht="15" hidden="1">
      <c r="A10" s="1363"/>
      <c r="B10" s="1363"/>
      <c r="C10" s="1363"/>
      <c r="D10" s="1363"/>
      <c r="E10" s="2259"/>
      <c r="F10" s="2259"/>
      <c r="G10" s="2259"/>
      <c r="H10" s="2259"/>
      <c r="I10" s="2286"/>
      <c r="J10" s="2256"/>
      <c r="K10" s="1363"/>
      <c r="L10" s="1364"/>
      <c r="M10" s="537"/>
      <c r="N10" s="1366"/>
      <c r="P10" s="2257"/>
      <c r="Q10" s="2257"/>
      <c r="R10" s="356"/>
      <c r="S10" s="1278"/>
      <c r="T10" s="288" t="s">
        <v>413</v>
      </c>
      <c r="U10" s="367"/>
      <c r="V10" s="367"/>
      <c r="W10" s="367"/>
      <c r="X10" s="367"/>
      <c r="Y10" s="367"/>
      <c r="Z10" s="367"/>
      <c r="AA10" s="367"/>
      <c r="AB10" s="367"/>
      <c r="AC10" s="367"/>
      <c r="AD10" s="367"/>
      <c r="AE10" s="367"/>
      <c r="AF10" s="367"/>
      <c r="AG10" s="367"/>
      <c r="AH10" s="367"/>
      <c r="AI10" s="367"/>
      <c r="AJ10" s="367"/>
      <c r="AK10" s="367"/>
      <c r="AL10" s="324"/>
      <c r="AM10" s="2255"/>
      <c r="AO10" s="500"/>
      <c r="AP10" s="500" t="str">
        <f>IF(T10="","",T10)</f>
        <v>Добавить вид теплоносителя (параметры теплоносителя)</v>
      </c>
      <c r="AQ10" s="500"/>
      <c r="AR10" s="500"/>
      <c r="AS10" s="1155">
        <v>0</v>
      </c>
    </row>
    <row customHeight="1" ht="15" hidden="1">
      <c r="A11" s="1363"/>
      <c r="B11" s="1363"/>
      <c r="C11" s="1363"/>
      <c r="D11" s="1363"/>
      <c r="E11" s="2259"/>
      <c r="F11" s="2259"/>
      <c r="G11" s="2259"/>
      <c r="H11" s="2259"/>
      <c r="I11" s="2256"/>
      <c r="J11" s="1363"/>
      <c r="K11" s="1363"/>
      <c r="L11" s="1364"/>
      <c r="M11" s="537"/>
      <c r="P11" s="2257"/>
      <c r="Q11" s="1305"/>
      <c r="R11" s="356"/>
      <c r="S11" s="1278"/>
      <c r="T11" s="287" t="s">
        <v>414</v>
      </c>
      <c r="U11" s="367"/>
      <c r="V11" s="367"/>
      <c r="W11" s="367"/>
      <c r="X11" s="367"/>
      <c r="Y11" s="367"/>
      <c r="Z11" s="367"/>
      <c r="AA11" s="367"/>
      <c r="AB11" s="367"/>
      <c r="AC11" s="366"/>
      <c r="AD11" s="367"/>
      <c r="AE11" s="367"/>
      <c r="AF11" s="367"/>
      <c r="AG11" s="367"/>
      <c r="AH11" s="367"/>
      <c r="AI11" s="367"/>
      <c r="AJ11" s="367"/>
      <c r="AK11" s="366"/>
      <c r="AL11" s="367"/>
      <c r="AM11" s="303"/>
      <c r="AO11" s="500"/>
      <c r="AP11" s="500" t="str">
        <f>IF(T11="","",T11)</f>
        <v>Добавить группу потребителей</v>
      </c>
      <c r="AQ11" s="500"/>
      <c r="AR11" s="500"/>
      <c r="AS11" s="1155">
        <v>0</v>
      </c>
    </row>
    <row customHeight="1" ht="14.25" hidden="1">
      <c r="A12" s="1363"/>
      <c r="B12" s="1363"/>
      <c r="C12" s="1363"/>
      <c r="D12" s="1363"/>
      <c r="E12" s="2259"/>
      <c r="F12" s="2259"/>
      <c r="G12" s="2259"/>
      <c r="H12" s="2258"/>
      <c r="I12" s="1363"/>
      <c r="J12" s="1363"/>
      <c r="K12" s="1363"/>
      <c r="L12" s="1364"/>
      <c r="M12" s="1365"/>
      <c r="N12" s="1365"/>
      <c r="O12" s="537"/>
      <c r="P12" s="360"/>
      <c r="Q12" s="375"/>
      <c r="R12" s="355"/>
      <c r="S12" s="1278"/>
      <c r="T12" s="365" t="s">
        <v>415</v>
      </c>
      <c r="U12" s="367"/>
      <c r="V12" s="367"/>
      <c r="W12" s="367"/>
      <c r="X12" s="367"/>
      <c r="Y12" s="367"/>
      <c r="Z12" s="367"/>
      <c r="AA12" s="367"/>
      <c r="AB12" s="367"/>
      <c r="AC12" s="366"/>
      <c r="AD12" s="367"/>
      <c r="AE12" s="367"/>
      <c r="AF12" s="367"/>
      <c r="AG12" s="367"/>
      <c r="AH12" s="367"/>
      <c r="AI12" s="367"/>
      <c r="AJ12" s="367"/>
      <c r="AK12" s="366"/>
      <c r="AL12" s="367"/>
      <c r="AM12" s="303"/>
      <c r="AO12" s="500"/>
      <c r="AP12" s="500" t="str">
        <f>IF(T12="","",T12)</f>
        <v>Добавить схему подключения</v>
      </c>
      <c r="AQ12" s="500"/>
      <c r="AR12" s="500"/>
      <c r="AS12" s="1155">
        <v>0</v>
      </c>
    </row>
    <row s="1642" customFormat="1" customHeight="1" ht="0.75" hidden="1">
      <c r="A13" s="1314"/>
      <c r="B13" s="1314"/>
      <c r="C13" s="1314"/>
      <c r="D13" s="1314"/>
      <c r="E13" s="2259"/>
      <c r="F13" s="2259"/>
      <c r="G13" s="2258"/>
      <c r="H13" s="1314"/>
      <c r="I13" s="1314"/>
      <c r="J13" s="1314"/>
      <c r="K13" s="1314"/>
      <c r="L13" s="1339"/>
      <c r="M13" s="1315"/>
      <c r="N13" s="1315"/>
      <c r="P13" s="1316"/>
      <c r="Q13" s="1317"/>
      <c r="R13" s="1316"/>
      <c r="S13" s="1318"/>
      <c r="T13" s="1319" t="s">
        <v>416</v>
      </c>
      <c r="U13" s="1320"/>
      <c r="V13" s="1320"/>
      <c r="W13" s="1320"/>
      <c r="X13" s="1320"/>
      <c r="Y13" s="1320"/>
      <c r="Z13" s="1320"/>
      <c r="AA13" s="1320"/>
      <c r="AB13" s="1320"/>
      <c r="AC13" s="1320"/>
      <c r="AD13" s="1320"/>
      <c r="AE13" s="1320"/>
      <c r="AF13" s="1320"/>
      <c r="AG13" s="1320"/>
      <c r="AH13" s="1320"/>
      <c r="AI13" s="1320"/>
      <c r="AJ13" s="1320"/>
      <c r="AK13" s="1320"/>
      <c r="AL13" s="1320"/>
      <c r="AM13" s="1320"/>
      <c r="AO13" s="789"/>
      <c r="AP13" s="789" t="str">
        <f>IF(T13="","",T13)</f>
        <v>Добавить источник для дифференциации</v>
      </c>
      <c r="AQ13" s="789"/>
      <c r="AR13" s="789"/>
      <c r="AS13" s="518">
        <v>0</v>
      </c>
    </row>
    <row s="1642" customFormat="1" customHeight="1" ht="0.75" hidden="1">
      <c r="A14" s="1314"/>
      <c r="B14" s="1314"/>
      <c r="C14" s="1314"/>
      <c r="D14" s="1314"/>
      <c r="E14" s="2259"/>
      <c r="F14" s="2258"/>
      <c r="G14" s="1314"/>
      <c r="H14" s="1314"/>
      <c r="I14" s="1314"/>
      <c r="J14" s="1314"/>
      <c r="K14" s="1314"/>
      <c r="L14" s="1339"/>
      <c r="M14" s="1321"/>
      <c r="N14" s="1321"/>
      <c r="P14" s="1316"/>
      <c r="Q14" s="1317"/>
      <c r="R14" s="1316"/>
      <c r="S14" s="1322"/>
      <c r="T14" s="1323" t="s">
        <v>417</v>
      </c>
      <c r="U14" s="1324"/>
      <c r="V14" s="1324"/>
      <c r="W14" s="1324"/>
      <c r="X14" s="1324"/>
      <c r="Y14" s="1324"/>
      <c r="Z14" s="1324"/>
      <c r="AA14" s="1324"/>
      <c r="AB14" s="1324"/>
      <c r="AC14" s="1324"/>
      <c r="AD14" s="1324"/>
      <c r="AE14" s="1324"/>
      <c r="AF14" s="1324"/>
      <c r="AG14" s="1324"/>
      <c r="AH14" s="1324"/>
      <c r="AI14" s="1324"/>
      <c r="AJ14" s="1324"/>
      <c r="AK14" s="1324"/>
      <c r="AL14" s="1324"/>
      <c r="AM14" s="1324"/>
      <c r="AO14" s="789"/>
      <c r="AP14" s="789" t="str">
        <f>IF(T14="","",T14)</f>
        <v>Добавить централизованную систему для дифференциации</v>
      </c>
      <c r="AQ14" s="789"/>
      <c r="AR14" s="789"/>
      <c r="AS14" s="518">
        <v>0</v>
      </c>
    </row>
    <row s="1642" customFormat="1" customHeight="1" ht="0.75" hidden="1">
      <c r="A15" s="1314"/>
      <c r="B15" s="1314"/>
      <c r="C15" s="1314"/>
      <c r="D15" s="1314"/>
      <c r="E15" s="2258"/>
      <c r="F15" s="1314"/>
      <c r="G15" s="1314"/>
      <c r="H15" s="1314"/>
      <c r="I15" s="1314"/>
      <c r="J15" s="1314"/>
      <c r="K15" s="1314"/>
      <c r="L15" s="1339"/>
      <c r="M15" s="1321"/>
      <c r="N15" s="1321"/>
      <c r="P15" s="1316"/>
      <c r="Q15" s="1317"/>
      <c r="R15" s="1316"/>
      <c r="S15" s="1322"/>
      <c r="T15" s="1325" t="s">
        <v>418</v>
      </c>
      <c r="U15" s="1324"/>
      <c r="V15" s="1324"/>
      <c r="W15" s="1324"/>
      <c r="X15" s="1324"/>
      <c r="Y15" s="1324"/>
      <c r="Z15" s="1324"/>
      <c r="AA15" s="1324"/>
      <c r="AB15" s="1324"/>
      <c r="AC15" s="1324"/>
      <c r="AD15" s="1324"/>
      <c r="AE15" s="1324"/>
      <c r="AF15" s="1324"/>
      <c r="AG15" s="1324"/>
      <c r="AH15" s="1324"/>
      <c r="AI15" s="1324"/>
      <c r="AJ15" s="1324"/>
      <c r="AK15" s="1324"/>
      <c r="AL15" s="1324"/>
      <c r="AM15" s="1324"/>
      <c r="AO15" s="789"/>
      <c r="AP15" s="789" t="str">
        <f>IF(T15="","",T15)</f>
        <v>Добавить территорию для дифференциации</v>
      </c>
      <c r="AQ15" s="789"/>
      <c r="AR15" s="789"/>
      <c r="AS15" s="518">
        <v>0</v>
      </c>
    </row>
    <row customHeight="1" ht="14.25" hidden="1">
      <c r="AC16" s="327"/>
      <c r="AK16" s="327"/>
      <c r="AS16" s="1155">
        <v>0</v>
      </c>
    </row>
    <row customHeight="1" ht="14.25" hidden="1">
      <c r="P17" s="1311"/>
      <c r="AD17" s="1360"/>
      <c r="AE17" s="1360"/>
      <c r="AF17" s="1360"/>
      <c r="AG17" s="1361"/>
      <c r="AH17" s="2267"/>
      <c r="AI17" s="2268" t="s">
        <v>66</v>
      </c>
      <c r="AJ17" s="2267"/>
      <c r="AK17" s="2268" t="s">
        <v>66</v>
      </c>
      <c r="AS17" s="1155">
        <v>0</v>
      </c>
    </row>
    <row customHeight="1" ht="14.25" hidden="1">
      <c r="P18" s="1311"/>
      <c r="AD18" s="1360"/>
      <c r="AE18" s="1360"/>
      <c r="AF18" s="1360"/>
      <c r="AG18" s="328" t="str">
        <f>AH17&amp;"-"&amp;AJ17</f>
        <v>-</v>
      </c>
      <c r="AH18" s="2268"/>
      <c r="AI18" s="2268"/>
      <c r="AJ18" s="2268"/>
      <c r="AK18" s="2268"/>
      <c r="AS18" s="1155">
        <v>0</v>
      </c>
    </row>
    <row customHeight="1" ht="14.25" hidden="1">
      <c r="P19" s="1311"/>
      <c r="AK19" s="327"/>
      <c r="AS19" s="1155">
        <v>0</v>
      </c>
    </row>
    <row s="1366" customFormat="1" customHeight="1" ht="22.5" hidden="1">
      <c r="L20" s="1329"/>
      <c r="M20" s="1362"/>
      <c r="N20" s="1362"/>
      <c r="O20" s="1367" t="s">
        <v>419</v>
      </c>
      <c r="P20" s="1362"/>
      <c r="Q20" s="1371"/>
      <c r="R20" s="1371"/>
      <c r="S20" s="729"/>
      <c r="Z20" s="1367"/>
      <c r="AB20" s="1367"/>
      <c r="AC20" s="1366"/>
      <c r="AH20" s="1367"/>
      <c r="AJ20" s="1367"/>
      <c r="AK20" s="1366"/>
      <c r="AN20" s="511"/>
      <c r="AO20" s="511"/>
      <c r="AP20" s="511"/>
      <c r="AQ20" s="511"/>
      <c r="AR20" s="511"/>
      <c r="AS20" s="1160">
        <v>0</v>
      </c>
    </row>
    <row s="1366" customFormat="1" customHeight="1" ht="14.25" hidden="1">
      <c r="L21" s="1329"/>
      <c r="M21" s="1362"/>
      <c r="N21" s="1362"/>
      <c r="O21" s="1362"/>
      <c r="P21" s="1362"/>
      <c r="Q21" s="1371"/>
      <c r="R21" s="1371"/>
      <c r="S21" s="729"/>
      <c r="AC21" s="1366"/>
      <c r="AK21" s="1366"/>
      <c r="AN21" s="511"/>
      <c r="AO21" s="511"/>
      <c r="AP21" s="511"/>
      <c r="AQ21" s="511"/>
      <c r="AR21" s="511"/>
      <c r="AS21" s="1160">
        <v>0</v>
      </c>
    </row>
    <row s="1366" customFormat="1" customHeight="1" ht="14.25" hidden="1">
      <c r="L22" s="1329"/>
      <c r="M22" s="1362"/>
      <c r="N22" s="1362"/>
      <c r="O22" s="1364" t="s">
        <v>420</v>
      </c>
      <c r="P22" s="1362"/>
      <c r="Q22" s="1371"/>
      <c r="R22" s="1371"/>
      <c r="S22" s="729"/>
      <c r="T22" s="1160" t="s">
        <v>421</v>
      </c>
      <c r="AA22" s="186" t="s">
        <v>422</v>
      </c>
      <c r="AC22" s="186" t="s">
        <v>423</v>
      </c>
      <c r="AD22" s="1160" t="s">
        <v>421</v>
      </c>
      <c r="AI22" s="186" t="s">
        <v>424</v>
      </c>
      <c r="AK22" s="186" t="s">
        <v>423</v>
      </c>
      <c r="AN22" s="511"/>
      <c r="AO22" s="511"/>
      <c r="AP22" s="511"/>
      <c r="AQ22" s="511"/>
      <c r="AR22" s="511"/>
      <c r="AS22" s="1160">
        <v>0</v>
      </c>
    </row>
    <row customHeight="1" ht="14.25" hidden="1">
      <c r="O23" s="1364"/>
      <c r="P23" s="1311"/>
      <c r="AS23" s="1155">
        <v>0</v>
      </c>
    </row>
    <row customHeight="1" ht="14.25" hidden="1">
      <c r="O24" s="1364"/>
      <c r="P24" s="1311"/>
      <c r="AS24" s="1155">
        <v>0</v>
      </c>
    </row>
    <row customHeight="1" ht="14.699999999999998">
      <c r="Q25" s="376"/>
      <c r="R25" s="376"/>
      <c r="S25" s="1275"/>
      <c r="T25" s="363"/>
      <c r="U25" s="363"/>
      <c r="V25" s="509"/>
      <c r="W25" s="509"/>
      <c r="X25" s="509"/>
      <c r="Y25" s="509"/>
      <c r="Z25" s="509"/>
      <c r="AA25" s="509"/>
      <c r="AB25" s="509"/>
      <c r="AC25" s="509"/>
      <c r="AD25" s="509"/>
      <c r="AE25" s="509"/>
      <c r="AF25" s="509"/>
      <c r="AG25" s="509"/>
      <c r="AH25" s="509"/>
      <c r="AI25" s="509"/>
      <c r="AJ25" s="509"/>
      <c r="AK25" s="509"/>
      <c r="AS25" s="1155">
        <v>14</v>
      </c>
    </row>
    <row customHeight="1" ht="14.699999999999998">
      <c r="Q26" s="376"/>
      <c r="R26" s="376"/>
      <c r="S26" s="2248"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248"/>
      <c r="U26" s="2248"/>
      <c r="V26" s="2248"/>
      <c r="W26" s="2248"/>
      <c r="X26" s="2248"/>
      <c r="Y26" s="2248"/>
      <c r="Z26" s="2248"/>
      <c r="AA26" s="2248"/>
      <c r="AB26" s="2248"/>
      <c r="AC26" s="2248"/>
      <c r="AD26" s="2248"/>
      <c r="AE26" s="2248"/>
      <c r="AF26" s="2248"/>
      <c r="AG26" s="2248"/>
      <c r="AH26" s="2248"/>
      <c r="AI26" s="2248"/>
      <c r="AJ26" s="2248"/>
      <c r="AK26" s="1243"/>
      <c r="AS26" s="1155">
        <v>14</v>
      </c>
    </row>
    <row customHeight="1" ht="14.699999999999998">
      <c r="Q27" s="376"/>
      <c r="R27" s="376"/>
      <c r="S27" s="2249" t="str">
        <f>IF(org=0,"Не определено",org)</f>
        <v>ПАО "ОГК-2"</v>
      </c>
      <c r="T27" s="2249"/>
      <c r="U27" s="2249"/>
      <c r="V27" s="2249"/>
      <c r="W27" s="2249"/>
      <c r="X27" s="2249"/>
      <c r="Y27" s="2249"/>
      <c r="Z27" s="2249"/>
      <c r="AA27" s="2249"/>
      <c r="AB27" s="2249"/>
      <c r="AC27" s="2249"/>
      <c r="AD27" s="2249"/>
      <c r="AE27" s="2249"/>
      <c r="AF27" s="2249"/>
      <c r="AG27" s="2249"/>
      <c r="AH27" s="2249"/>
      <c r="AI27" s="2249"/>
      <c r="AJ27" s="2249"/>
      <c r="AK27" s="1243"/>
      <c r="AS27" s="1155">
        <v>14</v>
      </c>
    </row>
    <row customHeight="1" ht="14.25" hidden="1">
      <c r="Q28" s="376"/>
      <c r="R28" s="376"/>
      <c r="S28" s="1275"/>
      <c r="T28" s="363"/>
      <c r="U28" s="363"/>
      <c r="V28" s="322"/>
      <c r="W28" s="322"/>
      <c r="X28" s="322"/>
      <c r="Y28" s="322"/>
      <c r="Z28" s="322"/>
      <c r="AA28" s="322"/>
      <c r="AB28" s="322"/>
      <c r="AC28" s="322"/>
      <c r="AD28" s="322"/>
      <c r="AE28" s="322"/>
      <c r="AF28" s="322"/>
      <c r="AG28" s="322"/>
      <c r="AH28" s="322"/>
      <c r="AI28" s="322"/>
      <c r="AJ28" s="322"/>
      <c r="AK28" s="322"/>
      <c r="AL28" s="509"/>
      <c r="AS28" s="1155">
        <v>0</v>
      </c>
    </row>
    <row s="1853" customFormat="1" customHeight="1" ht="25.5" hidden="1">
      <c r="A29" s="1368"/>
      <c r="B29" s="1368"/>
      <c r="C29" s="1368"/>
      <c r="D29" s="1368"/>
      <c r="E29" s="1368"/>
      <c r="F29" s="1368"/>
      <c r="G29" s="1368"/>
      <c r="H29" s="1368"/>
      <c r="I29" s="1368"/>
      <c r="J29" s="1368"/>
      <c r="K29" s="1368"/>
      <c r="L29" s="1369"/>
      <c r="M29" s="1368"/>
      <c r="N29" s="1368"/>
      <c r="O29" s="1368"/>
      <c r="S29" s="2250" t="s">
        <v>42</v>
      </c>
      <c r="T29" s="2250"/>
      <c r="U29" s="1372"/>
      <c r="V29" s="2251" t="str">
        <f>IF(TITLE_NAME_OR_PR_CHANGE="",IF(TITLE_NAME_OR_PR="","",TITLE_NAME_OR_PR),TITLE_NAME_OR_PR_CHANGE)</f>
        <v/>
      </c>
      <c r="W29" s="2251"/>
      <c r="X29" s="2251"/>
      <c r="Y29" s="2251"/>
      <c r="Z29" s="2251"/>
      <c r="AA29" s="2251"/>
      <c r="AB29" s="2251"/>
      <c r="AC29" s="326"/>
      <c r="AD29" s="2251" t="str">
        <f>IF(TITLE_NAME_OR_PR_CHANGE="",IF(TITLE_NAME_OR_PR="","",TITLE_NAME_OR_PR),TITLE_NAME_OR_PR_CHANGE)</f>
        <v/>
      </c>
      <c r="AE29" s="2251"/>
      <c r="AF29" s="2251"/>
      <c r="AG29" s="2251"/>
      <c r="AH29" s="2251"/>
      <c r="AI29" s="2251"/>
      <c r="AJ29" s="2251"/>
      <c r="AK29" s="326"/>
      <c r="AL29" s="326"/>
      <c r="AM29" s="280"/>
      <c r="AN29" s="368"/>
      <c r="AO29" s="368"/>
      <c r="AP29" s="368"/>
      <c r="AQ29" s="368"/>
      <c r="AR29" s="368"/>
      <c r="AS29" s="418">
        <v>0</v>
      </c>
    </row>
    <row s="1853" customFormat="1" customHeight="1" ht="18.75" hidden="1">
      <c r="A30" s="1368"/>
      <c r="B30" s="1368"/>
      <c r="C30" s="1368"/>
      <c r="D30" s="1368"/>
      <c r="E30" s="1368"/>
      <c r="F30" s="1368"/>
      <c r="G30" s="1368"/>
      <c r="H30" s="1368"/>
      <c r="I30" s="1368"/>
      <c r="J30" s="1368"/>
      <c r="K30" s="1368"/>
      <c r="L30" s="1369"/>
      <c r="M30" s="1368"/>
      <c r="N30" s="1368"/>
      <c r="O30" s="1368"/>
      <c r="S30" s="2250" t="s">
        <v>425</v>
      </c>
      <c r="T30" s="2250"/>
      <c r="U30" s="1372"/>
      <c r="V30" s="2264" t="str">
        <f>IF(TITLE_DATE_PR_CHANGE="",IF(TITLE_DATE_PR="","",TITLE_DATE_PR),TITLE_DATE_PR_CHANGE)</f>
        <v/>
      </c>
      <c r="W30" s="2264"/>
      <c r="X30" s="2264"/>
      <c r="Y30" s="2264"/>
      <c r="Z30" s="2264"/>
      <c r="AA30" s="2264"/>
      <c r="AB30" s="2264"/>
      <c r="AC30" s="326"/>
      <c r="AD30" s="2264" t="str">
        <f>IF(TITLE_DATE_PR_CHANGE="",IF(TITLE_DATE_PR="","",TITLE_DATE_PR),TITLE_DATE_PR_CHANGE)</f>
        <v/>
      </c>
      <c r="AE30" s="2264"/>
      <c r="AF30" s="2264"/>
      <c r="AG30" s="2264"/>
      <c r="AH30" s="2264"/>
      <c r="AI30" s="2264"/>
      <c r="AJ30" s="2264"/>
      <c r="AK30" s="326"/>
      <c r="AL30" s="326"/>
      <c r="AM30" s="280"/>
      <c r="AN30" s="368"/>
      <c r="AO30" s="368"/>
      <c r="AP30" s="368"/>
      <c r="AQ30" s="368"/>
      <c r="AR30" s="368"/>
      <c r="AS30" s="418">
        <v>0</v>
      </c>
    </row>
    <row s="1853" customFormat="1" customHeight="1" ht="18.75" hidden="1">
      <c r="A31" s="1368"/>
      <c r="B31" s="1368"/>
      <c r="C31" s="1368"/>
      <c r="D31" s="1368"/>
      <c r="E31" s="1368"/>
      <c r="F31" s="1368"/>
      <c r="G31" s="1368"/>
      <c r="H31" s="1368"/>
      <c r="I31" s="1368"/>
      <c r="J31" s="1368"/>
      <c r="K31" s="1368"/>
      <c r="L31" s="1369"/>
      <c r="M31" s="1368"/>
      <c r="N31" s="1368"/>
      <c r="O31" s="1368"/>
      <c r="S31" s="2250" t="s">
        <v>426</v>
      </c>
      <c r="T31" s="2250"/>
      <c r="U31" s="1372"/>
      <c r="V31" s="2251" t="str">
        <f>IF(TITLE_NUMBER_PR_CHANGE="",IF(TITLE_NUMBER_PR="","",TITLE_NUMBER_PR),TITLE_NUMBER_PR_CHANGE)</f>
        <v/>
      </c>
      <c r="W31" s="2251"/>
      <c r="X31" s="2251"/>
      <c r="Y31" s="2251"/>
      <c r="Z31" s="2251"/>
      <c r="AA31" s="2251"/>
      <c r="AB31" s="2251"/>
      <c r="AC31" s="326"/>
      <c r="AD31" s="2251" t="str">
        <f>IF(TITLE_NUMBER_PR_CHANGE="",IF(TITLE_NUMBER_PR="","",TITLE_NUMBER_PR),TITLE_NUMBER_PR_CHANGE)</f>
        <v/>
      </c>
      <c r="AE31" s="2251"/>
      <c r="AF31" s="2251"/>
      <c r="AG31" s="2251"/>
      <c r="AH31" s="2251"/>
      <c r="AI31" s="2251"/>
      <c r="AJ31" s="2251"/>
      <c r="AK31" s="326"/>
      <c r="AL31" s="326"/>
      <c r="AM31" s="280"/>
      <c r="AN31" s="368"/>
      <c r="AO31" s="368"/>
      <c r="AP31" s="368"/>
      <c r="AQ31" s="368"/>
      <c r="AR31" s="368"/>
      <c r="AS31" s="418">
        <v>0</v>
      </c>
    </row>
    <row s="1853" customFormat="1" customHeight="1" ht="18.75" hidden="1">
      <c r="A32" s="1368"/>
      <c r="B32" s="1368"/>
      <c r="C32" s="1368"/>
      <c r="D32" s="1368"/>
      <c r="E32" s="1368"/>
      <c r="F32" s="1368"/>
      <c r="G32" s="1368"/>
      <c r="H32" s="1368"/>
      <c r="I32" s="1368"/>
      <c r="J32" s="1368"/>
      <c r="K32" s="1368"/>
      <c r="L32" s="1369"/>
      <c r="M32" s="1368"/>
      <c r="N32" s="1368"/>
      <c r="O32" s="1368"/>
      <c r="S32" s="2250" t="s">
        <v>43</v>
      </c>
      <c r="T32" s="2250"/>
      <c r="U32" s="1372"/>
      <c r="V32" s="2251" t="str">
        <f>IF(TITLE_IST_PUB_CHANGE="",IF(TITLE_IST_PUB="","",TITLE_IST_PUB),TITLE_IST_PUB_CHANGE)</f>
        <v/>
      </c>
      <c r="W32" s="2251"/>
      <c r="X32" s="2251"/>
      <c r="Y32" s="2251"/>
      <c r="Z32" s="2251"/>
      <c r="AA32" s="2251"/>
      <c r="AB32" s="2251"/>
      <c r="AC32" s="326"/>
      <c r="AD32" s="2251" t="str">
        <f>IF(TITLE_IST_PUB_CHANGE="",IF(TITLE_IST_PUB="","",TITLE_IST_PUB),TITLE_IST_PUB_CHANGE)</f>
        <v/>
      </c>
      <c r="AE32" s="2251"/>
      <c r="AF32" s="2251"/>
      <c r="AG32" s="2251"/>
      <c r="AH32" s="2251"/>
      <c r="AI32" s="2251"/>
      <c r="AJ32" s="2251"/>
      <c r="AK32" s="326"/>
      <c r="AL32" s="326"/>
      <c r="AM32" s="280"/>
      <c r="AN32" s="368"/>
      <c r="AO32" s="368"/>
      <c r="AP32" s="368"/>
      <c r="AQ32" s="368"/>
      <c r="AR32" s="368"/>
      <c r="AS32" s="418">
        <v>0</v>
      </c>
    </row>
    <row customHeight="1" ht="14.25" hidden="1">
      <c r="P33" s="1328"/>
      <c r="Q33" s="376"/>
      <c r="R33" s="376"/>
      <c r="S33" s="1275"/>
      <c r="T33" s="363"/>
      <c r="U33" s="363"/>
      <c r="V33" s="322"/>
      <c r="W33" s="322"/>
      <c r="X33" s="322"/>
      <c r="Y33" s="322"/>
      <c r="Z33" s="322"/>
      <c r="AA33" s="322"/>
      <c r="AB33" s="322"/>
      <c r="AC33" s="322"/>
      <c r="AD33" s="322"/>
      <c r="AE33" s="322"/>
      <c r="AF33" s="322"/>
      <c r="AG33" s="322"/>
      <c r="AH33" s="322"/>
      <c r="AI33" s="322"/>
      <c r="AJ33" s="322"/>
      <c r="AK33" s="322"/>
      <c r="AL33" s="509"/>
      <c r="AS33" s="1155">
        <v>0</v>
      </c>
    </row>
    <row s="1853" customFormat="1" customHeight="1" ht="18.75" hidden="1">
      <c r="A34" s="1368"/>
      <c r="B34" s="1368"/>
      <c r="C34" s="1368"/>
      <c r="D34" s="1368"/>
      <c r="E34" s="1368"/>
      <c r="F34" s="1368"/>
      <c r="G34" s="1368"/>
      <c r="H34" s="1368"/>
      <c r="I34" s="1368"/>
      <c r="J34" s="1368"/>
      <c r="K34" s="1368"/>
      <c r="L34" s="1369"/>
      <c r="M34" s="1368"/>
      <c r="N34" s="1368"/>
      <c r="O34" s="1368"/>
      <c r="S34" s="2250" t="s">
        <v>427</v>
      </c>
      <c r="T34" s="2250"/>
      <c r="U34" s="1372"/>
      <c r="V34" s="2264" t="str">
        <f>IF(TITLE_DATE_PR_CHANGE="",IF(TITLE_DATE_PR="","",TITLE_DATE_PR),TITLE_DATE_PR_CHANGE)</f>
        <v/>
      </c>
      <c r="W34" s="2264"/>
      <c r="X34" s="2264"/>
      <c r="Y34" s="2264"/>
      <c r="Z34" s="2264"/>
      <c r="AA34" s="2264"/>
      <c r="AB34" s="2264"/>
      <c r="AC34" s="326"/>
      <c r="AD34" s="2264" t="str">
        <f>IF(TITLE_DATE_PR_CHANGE="",IF(TITLE_DATE_PR="","",TITLE_DATE_PR),TITLE_DATE_PR_CHANGE)</f>
        <v/>
      </c>
      <c r="AE34" s="2264"/>
      <c r="AF34" s="2264"/>
      <c r="AG34" s="2264"/>
      <c r="AH34" s="2264"/>
      <c r="AI34" s="2264"/>
      <c r="AJ34" s="2264"/>
      <c r="AK34" s="326"/>
      <c r="AL34" s="326"/>
      <c r="AM34" s="280"/>
      <c r="AN34" s="368"/>
      <c r="AO34" s="368"/>
      <c r="AP34" s="368"/>
      <c r="AQ34" s="368"/>
      <c r="AR34" s="368"/>
      <c r="AS34" s="418">
        <v>0</v>
      </c>
    </row>
    <row s="1853" customFormat="1" customHeight="1" ht="18.75" hidden="1">
      <c r="A35" s="1368"/>
      <c r="B35" s="1368"/>
      <c r="C35" s="1368"/>
      <c r="D35" s="1368"/>
      <c r="E35" s="1368"/>
      <c r="F35" s="1368"/>
      <c r="G35" s="1368"/>
      <c r="H35" s="1368"/>
      <c r="I35" s="1368"/>
      <c r="J35" s="1368"/>
      <c r="K35" s="1368"/>
      <c r="L35" s="1369"/>
      <c r="M35" s="1368"/>
      <c r="N35" s="1368"/>
      <c r="O35" s="1368"/>
      <c r="S35" s="2250" t="s">
        <v>428</v>
      </c>
      <c r="T35" s="2250"/>
      <c r="U35" s="1372"/>
      <c r="V35" s="2251" t="str">
        <f>IF(TITLE_NUMBER_PR_CHANGE="",IF(TITLE_NUMBER_PR="","",TITLE_NUMBER_PR),TITLE_NUMBER_PR_CHANGE)</f>
        <v/>
      </c>
      <c r="W35" s="2251"/>
      <c r="X35" s="2251"/>
      <c r="Y35" s="2251"/>
      <c r="Z35" s="2251"/>
      <c r="AA35" s="2251"/>
      <c r="AB35" s="2251"/>
      <c r="AC35" s="326"/>
      <c r="AD35" s="2251" t="str">
        <f>IF(TITLE_NUMBER_PR_CHANGE="",IF(TITLE_NUMBER_PR="","",TITLE_NUMBER_PR),TITLE_NUMBER_PR_CHANGE)</f>
        <v/>
      </c>
      <c r="AE35" s="2251"/>
      <c r="AF35" s="2251"/>
      <c r="AG35" s="2251"/>
      <c r="AH35" s="2251"/>
      <c r="AI35" s="2251"/>
      <c r="AJ35" s="2251"/>
      <c r="AK35" s="326"/>
      <c r="AL35" s="326"/>
      <c r="AM35" s="280"/>
      <c r="AN35" s="368"/>
      <c r="AO35" s="368"/>
      <c r="AP35" s="368"/>
      <c r="AQ35" s="368"/>
      <c r="AR35" s="368"/>
      <c r="AS35" s="418">
        <v>0</v>
      </c>
    </row>
    <row s="1853" customFormat="1" customHeight="1" ht="0">
      <c r="A36" s="1368"/>
      <c r="B36" s="1368"/>
      <c r="C36" s="1368"/>
      <c r="D36" s="1368"/>
      <c r="E36" s="1368"/>
      <c r="F36" s="1368"/>
      <c r="G36" s="1368"/>
      <c r="H36" s="1368"/>
      <c r="I36" s="1368"/>
      <c r="J36" s="1368"/>
      <c r="K36" s="1368"/>
      <c r="L36" s="1369"/>
      <c r="M36" s="1368"/>
      <c r="N36" s="1368"/>
      <c r="O36" s="1368"/>
      <c r="S36" s="323"/>
      <c r="T36" s="323"/>
      <c r="U36" s="1219"/>
      <c r="V36" s="326"/>
      <c r="W36" s="326"/>
      <c r="X36" s="326"/>
      <c r="Y36" s="326"/>
      <c r="Z36" s="326"/>
      <c r="AA36" s="326"/>
      <c r="AB36" s="326"/>
      <c r="AC36" s="278" t="s">
        <v>429</v>
      </c>
      <c r="AD36" s="326"/>
      <c r="AE36" s="326"/>
      <c r="AF36" s="326"/>
      <c r="AG36" s="326"/>
      <c r="AH36" s="326"/>
      <c r="AI36" s="326"/>
      <c r="AJ36" s="326"/>
      <c r="AK36" s="278" t="s">
        <v>429</v>
      </c>
      <c r="AN36" s="368"/>
      <c r="AO36" s="368"/>
      <c r="AP36" s="368"/>
      <c r="AQ36" s="368"/>
      <c r="AR36" s="368"/>
      <c r="AS36" s="418">
        <v>0</v>
      </c>
    </row>
    <row customHeight="1" ht="14.699999999999998">
      <c r="Q37" s="376"/>
      <c r="R37" s="376"/>
      <c r="S37" s="1275"/>
      <c r="T37" s="363"/>
      <c r="U37" s="1244"/>
      <c r="V37" s="2252"/>
      <c r="W37" s="2252"/>
      <c r="X37" s="2252"/>
      <c r="Y37" s="2252"/>
      <c r="Z37" s="2252"/>
      <c r="AA37" s="2252"/>
      <c r="AB37" s="2252"/>
      <c r="AC37" s="2252"/>
      <c r="AD37" s="2252"/>
      <c r="AE37" s="2252"/>
      <c r="AF37" s="2252"/>
      <c r="AG37" s="2252"/>
      <c r="AH37" s="2252"/>
      <c r="AI37" s="2252"/>
      <c r="AJ37" s="2252"/>
      <c r="AK37" s="2252"/>
      <c r="AS37" s="1155">
        <v>14</v>
      </c>
    </row>
    <row customHeight="1" ht="14.699999999999998">
      <c r="Q38" s="376"/>
      <c r="R38" s="376"/>
      <c r="S38" s="2127" t="s">
        <v>302</v>
      </c>
      <c r="T38" s="2127"/>
      <c r="U38" s="2127"/>
      <c r="V38" s="2127"/>
      <c r="W38" s="2127"/>
      <c r="X38" s="2127"/>
      <c r="Y38" s="2127"/>
      <c r="Z38" s="2127"/>
      <c r="AA38" s="2127"/>
      <c r="AB38" s="2127"/>
      <c r="AC38" s="2127"/>
      <c r="AD38" s="2127"/>
      <c r="AE38" s="2127"/>
      <c r="AF38" s="2127"/>
      <c r="AG38" s="2127"/>
      <c r="AH38" s="2127"/>
      <c r="AI38" s="2127"/>
      <c r="AJ38" s="2127"/>
      <c r="AK38" s="2127"/>
      <c r="AL38" s="2127"/>
      <c r="AM38" s="2127" t="s">
        <v>303</v>
      </c>
      <c r="AS38" s="1155">
        <v>14</v>
      </c>
    </row>
    <row customHeight="1" ht="14.699999999999998">
      <c r="Q39" s="376"/>
      <c r="R39" s="376"/>
      <c r="S39" s="2273" t="s">
        <v>88</v>
      </c>
      <c r="T39" s="2209" t="s">
        <v>430</v>
      </c>
      <c r="U39" s="301"/>
      <c r="V39" s="2274" t="s">
        <v>431</v>
      </c>
      <c r="W39" s="2275"/>
      <c r="X39" s="2275"/>
      <c r="Y39" s="2275"/>
      <c r="Z39" s="2275"/>
      <c r="AA39" s="2275"/>
      <c r="AB39" s="2276"/>
      <c r="AC39" s="2277" t="s">
        <v>432</v>
      </c>
      <c r="AD39" s="2274" t="s">
        <v>431</v>
      </c>
      <c r="AE39" s="2275"/>
      <c r="AF39" s="2275"/>
      <c r="AG39" s="2275"/>
      <c r="AH39" s="2275"/>
      <c r="AI39" s="2275"/>
      <c r="AJ39" s="2276"/>
      <c r="AK39" s="2277" t="s">
        <v>433</v>
      </c>
      <c r="AL39" s="2280" t="s">
        <v>434</v>
      </c>
      <c r="AM39" s="2127"/>
      <c r="AS39" s="1155">
        <v>14</v>
      </c>
    </row>
    <row customHeight="1" ht="35.699999999999996">
      <c r="Q40" s="376"/>
      <c r="R40" s="376"/>
      <c r="S40" s="2273"/>
      <c r="T40" s="2209"/>
      <c r="U40" s="1031"/>
      <c r="V40" s="2260" t="s">
        <v>435</v>
      </c>
      <c r="W40" s="2610" t="s">
        <v>436</v>
      </c>
      <c r="X40" s="2262" t="s">
        <v>437</v>
      </c>
      <c r="Y40" s="2263"/>
      <c r="Z40" s="2262" t="s">
        <v>438</v>
      </c>
      <c r="AA40" s="2269"/>
      <c r="AB40" s="2263"/>
      <c r="AC40" s="2278"/>
      <c r="AD40" s="2260" t="s">
        <v>435</v>
      </c>
      <c r="AE40" s="2283" t="s">
        <v>436</v>
      </c>
      <c r="AF40" s="2262" t="s">
        <v>437</v>
      </c>
      <c r="AG40" s="2263"/>
      <c r="AH40" s="2262" t="s">
        <v>438</v>
      </c>
      <c r="AI40" s="2269"/>
      <c r="AJ40" s="2263"/>
      <c r="AK40" s="2278"/>
      <c r="AL40" s="2281"/>
      <c r="AM40" s="2127"/>
      <c r="AS40" s="1155">
        <v>34</v>
      </c>
    </row>
    <row customHeight="1" ht="35.699999999999996">
      <c r="A41" s="1370"/>
      <c r="B41" s="1370" t="s">
        <v>139</v>
      </c>
      <c r="C41" s="1370" t="s">
        <v>140</v>
      </c>
      <c r="D41" s="1370" t="s">
        <v>141</v>
      </c>
      <c r="E41" s="1364" t="s">
        <v>439</v>
      </c>
      <c r="F41" s="1364" t="s">
        <v>440</v>
      </c>
      <c r="G41" s="1364" t="s">
        <v>441</v>
      </c>
      <c r="H41" s="1364" t="s">
        <v>442</v>
      </c>
      <c r="I41" s="1364" t="s">
        <v>443</v>
      </c>
      <c r="J41" s="1364" t="s">
        <v>444</v>
      </c>
      <c r="K41" s="1364" t="s">
        <v>445</v>
      </c>
      <c r="L41" s="1364" t="s">
        <v>420</v>
      </c>
      <c r="Q41" s="376"/>
      <c r="R41" s="376"/>
      <c r="S41" s="2273"/>
      <c r="T41" s="2209"/>
      <c r="U41" s="302"/>
      <c r="V41" s="2261"/>
      <c r="W41" s="2284"/>
      <c r="X41" s="1222" t="s">
        <v>446</v>
      </c>
      <c r="Y41" s="1222" t="s">
        <v>447</v>
      </c>
      <c r="Z41" s="1221" t="s">
        <v>448</v>
      </c>
      <c r="AA41" s="2270" t="s">
        <v>449</v>
      </c>
      <c r="AB41" s="2271"/>
      <c r="AC41" s="2279"/>
      <c r="AD41" s="2261"/>
      <c r="AE41" s="2284"/>
      <c r="AF41" s="1222" t="s">
        <v>446</v>
      </c>
      <c r="AG41" s="1222" t="s">
        <v>447</v>
      </c>
      <c r="AH41" s="1313" t="s">
        <v>448</v>
      </c>
      <c r="AI41" s="2270" t="s">
        <v>449</v>
      </c>
      <c r="AJ41" s="2271"/>
      <c r="AK41" s="2279"/>
      <c r="AL41" s="2282"/>
      <c r="AM41" s="2127"/>
      <c r="AS41" s="1155">
        <v>34</v>
      </c>
    </row>
    <row s="1641" customFormat="1" customHeight="1" ht="11.25" hidden="1">
      <c r="A42" s="1370"/>
      <c r="B42" s="1370"/>
      <c r="C42" s="1370"/>
      <c r="D42" s="1370"/>
      <c r="E42" s="1370"/>
      <c r="F42" s="1370"/>
      <c r="G42" s="1370"/>
      <c r="H42" s="1370"/>
      <c r="I42" s="1370"/>
      <c r="J42" s="1370"/>
      <c r="K42" s="1370"/>
      <c r="L42" s="1364"/>
      <c r="M42" s="1362"/>
      <c r="N42" s="1362"/>
      <c r="O42" s="1362"/>
      <c r="P42" s="1246"/>
      <c r="Q42" s="1247"/>
      <c r="R42" s="1254">
        <v>1</v>
      </c>
      <c r="S42" s="1277" t="s">
        <v>109</v>
      </c>
      <c r="T42" s="1255" t="s">
        <v>110</v>
      </c>
      <c r="U42" s="1245" t="str">
        <f>OFFSET(U42,0,-1)</f>
        <v>2</v>
      </c>
      <c r="V42" s="1256">
        <f>OFFSET(V42,0,-1)+1</f>
        <v>3</v>
      </c>
      <c r="W42" s="1256"/>
      <c r="X42" s="1256">
        <f>OFFSET(X42,0,-1)+1</f>
        <v>1</v>
      </c>
      <c r="Y42" s="1256">
        <f>OFFSET(Y42,0,-1)+1</f>
        <v>2</v>
      </c>
      <c r="Z42" s="1256">
        <f>OFFSET(Z42,0,-1)+1</f>
        <v>3</v>
      </c>
      <c r="AA42" s="2272">
        <f>OFFSET(AA42,0,-1)+1</f>
        <v>4</v>
      </c>
      <c r="AB42" s="2272"/>
      <c r="AC42" s="1256">
        <f>OFFSET(AC42,0,-2)+1</f>
        <v>5</v>
      </c>
      <c r="AD42" s="1312">
        <f>OFFSET(AD42,0,-1)+1</f>
        <v>6</v>
      </c>
      <c r="AE42" s="1312"/>
      <c r="AF42" s="1312">
        <f>OFFSET(AF42,0,-1)+1</f>
        <v>1</v>
      </c>
      <c r="AG42" s="1312">
        <f>OFFSET(AG42,0,-1)+1</f>
        <v>2</v>
      </c>
      <c r="AH42" s="1312">
        <f>OFFSET(AH42,0,-1)+1</f>
        <v>3</v>
      </c>
      <c r="AI42" s="2272">
        <f>OFFSET(AI42,0,-1)+1</f>
        <v>4</v>
      </c>
      <c r="AJ42" s="2272"/>
      <c r="AK42" s="1312">
        <f>OFFSET(AK42,0,-2)+1</f>
        <v>5</v>
      </c>
      <c r="AL42" s="1245">
        <f>OFFSET(AL42,0,-1)</f>
        <v>5</v>
      </c>
      <c r="AM42" s="1256">
        <f>OFFSET(AM42,0,-1)+1</f>
        <v>6</v>
      </c>
      <c r="AN42" s="511"/>
      <c r="AO42" s="511"/>
      <c r="AP42" s="511"/>
      <c r="AQ42" s="511"/>
      <c r="AR42" s="511"/>
      <c r="AS42" s="496">
        <v>0</v>
      </c>
    </row>
    <row customHeight="1" ht="24">
      <c r="A43" s="1363" t="s">
        <v>160</v>
      </c>
      <c r="B43" s="1363"/>
      <c r="C43" s="1363"/>
      <c r="D43" s="1363"/>
      <c r="E43" s="2258">
        <v>1</v>
      </c>
      <c r="F43" s="1363"/>
      <c r="G43" s="1363"/>
      <c r="H43" s="1363"/>
      <c r="I43" s="1363"/>
      <c r="J43" s="1363"/>
      <c r="K43" s="1363"/>
      <c r="L43" s="1364"/>
      <c r="M43" s="1365"/>
      <c r="N43" s="1365"/>
      <c r="O43" s="1365"/>
      <c r="P43" s="361"/>
      <c r="Q43" s="360"/>
      <c r="R43" s="355"/>
      <c r="S43" s="1224">
        <f>INDEX(PT_DIFFERENTIATION_NUM_NTAR,MATCH(A43,PT_DIFFERENTIATION_NTAR_ID,0))</f>
        <v>0</v>
      </c>
      <c r="T43" s="298" t="s">
        <v>127</v>
      </c>
      <c r="U43" s="300"/>
      <c r="V43" s="2242"/>
      <c r="W43" s="2243"/>
      <c r="X43" s="2243"/>
      <c r="Y43" s="2243"/>
      <c r="Z43" s="2243"/>
      <c r="AA43" s="2243"/>
      <c r="AB43" s="2243"/>
      <c r="AC43" s="2244"/>
      <c r="AD43" s="2242" t="str">
        <f>INDEX(PT_DIFFERENTIATION_NTAR,MATCH(A43,PT_DIFFERENTIATION_NTAR_ID,0))</f>
        <v/>
      </c>
      <c r="AE43" s="2243"/>
      <c r="AF43" s="2243"/>
      <c r="AG43" s="2243"/>
      <c r="AH43" s="2243"/>
      <c r="AI43" s="2243"/>
      <c r="AJ43" s="2243"/>
      <c r="AK43" s="2243"/>
      <c r="AL43" s="2244"/>
      <c r="AM43" s="1258"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00"/>
      <c r="AP43" s="500" t="str">
        <f>IF(T43="","",T43)</f>
        <v>Наименование тарифа</v>
      </c>
      <c r="AQ43" s="500"/>
      <c r="AR43" s="500"/>
      <c r="AS43" s="1155">
        <v>23</v>
      </c>
    </row>
    <row customHeight="1" ht="24">
      <c r="A44" s="1363" t="s">
        <v>160</v>
      </c>
      <c r="B44" s="1363" t="s">
        <v>161</v>
      </c>
      <c r="C44" s="1363"/>
      <c r="D44" s="1363"/>
      <c r="E44" s="2259"/>
      <c r="F44" s="2258">
        <v>1</v>
      </c>
      <c r="G44" s="1363"/>
      <c r="H44" s="1363"/>
      <c r="I44" s="1363"/>
      <c r="J44" s="1363"/>
      <c r="K44" s="1363"/>
      <c r="L44" s="1364"/>
      <c r="M44" s="1365"/>
      <c r="N44" s="1365"/>
      <c r="O44" s="1365"/>
      <c r="P44" s="522"/>
      <c r="Q44" s="352"/>
      <c r="R44" s="353"/>
      <c r="S44" s="1224" t="str">
        <f>INDEX(PT_DIFFERENTIATION_NUM_TER,MATCH(B44,PT_DIFFERENTIATION_TER_ID,0))</f>
        <v>.</v>
      </c>
      <c r="T44" s="308" t="s">
        <v>399</v>
      </c>
      <c r="U44" s="300"/>
      <c r="V44" s="2242"/>
      <c r="W44" s="2243"/>
      <c r="X44" s="2243"/>
      <c r="Y44" s="2243"/>
      <c r="Z44" s="2243"/>
      <c r="AA44" s="2243"/>
      <c r="AB44" s="2243"/>
      <c r="AC44" s="2244"/>
      <c r="AD44" s="2242" t="str">
        <f>INDEX(PT_DIFFERENTIATION_TER,MATCH(B44,PT_DIFFERENTIATION_TER_ID,0))</f>
        <v/>
      </c>
      <c r="AE44" s="2243"/>
      <c r="AF44" s="2243"/>
      <c r="AG44" s="2243"/>
      <c r="AH44" s="2243"/>
      <c r="AI44" s="2243"/>
      <c r="AJ44" s="2243"/>
      <c r="AK44" s="2243"/>
      <c r="AL44" s="2244"/>
      <c r="AM44" s="1258" t="s">
        <v>400</v>
      </c>
      <c r="AO44" s="500"/>
      <c r="AP44" s="500" t="str">
        <f>IF(T44="","",T44)</f>
        <v>Территория действия тарифа</v>
      </c>
      <c r="AQ44" s="500"/>
      <c r="AR44" s="500"/>
      <c r="AS44" s="1155">
        <v>23</v>
      </c>
    </row>
    <row customHeight="1" ht="24">
      <c r="A45" s="1363" t="s">
        <v>160</v>
      </c>
      <c r="B45" s="1363" t="s">
        <v>161</v>
      </c>
      <c r="C45" s="1363" t="s">
        <v>162</v>
      </c>
      <c r="D45" s="1363"/>
      <c r="E45" s="2259"/>
      <c r="F45" s="2259"/>
      <c r="G45" s="2258">
        <v>1</v>
      </c>
      <c r="H45" s="1363"/>
      <c r="I45" s="1363"/>
      <c r="J45" s="1363"/>
      <c r="K45" s="1363"/>
      <c r="L45" s="1364"/>
      <c r="M45" s="1365"/>
      <c r="N45" s="1365"/>
      <c r="O45" s="1365"/>
      <c r="P45" s="354"/>
      <c r="Q45" s="352"/>
      <c r="R45" s="353"/>
      <c r="S45" s="1224" t="str">
        <f>INDEX(PT_DIFFERENTIATION_NUM_CS,MATCH(C45,PT_DIFFERENTIATION_CS_ID,0))</f>
        <v>..</v>
      </c>
      <c r="T45" s="309" t="s">
        <v>401</v>
      </c>
      <c r="U45" s="300"/>
      <c r="V45" s="2242"/>
      <c r="W45" s="2243"/>
      <c r="X45" s="2243"/>
      <c r="Y45" s="2243"/>
      <c r="Z45" s="2243"/>
      <c r="AA45" s="2243"/>
      <c r="AB45" s="2243"/>
      <c r="AC45" s="2244"/>
      <c r="AD45" s="2242" t="str">
        <f>INDEX(PT_DIFFERENTIATION_CS,MATCH(C45,PT_DIFFERENTIATION_CS_ID,0))</f>
        <v/>
      </c>
      <c r="AE45" s="2243"/>
      <c r="AF45" s="2243"/>
      <c r="AG45" s="2243"/>
      <c r="AH45" s="2243"/>
      <c r="AI45" s="2243"/>
      <c r="AJ45" s="2243"/>
      <c r="AK45" s="2243"/>
      <c r="AL45" s="2244"/>
      <c r="AM45" s="1258" t="s">
        <v>402</v>
      </c>
      <c r="AO45" s="500"/>
      <c r="AP45" s="500" t="str">
        <f>IF(T45="","",T45)</f>
        <v>Наименование системы теплоснабжения </v>
      </c>
      <c r="AQ45" s="500"/>
      <c r="AR45" s="500"/>
      <c r="AS45" s="1155">
        <v>23</v>
      </c>
    </row>
    <row customHeight="1" ht="24">
      <c r="A46" s="1363" t="s">
        <v>160</v>
      </c>
      <c r="B46" s="1363" t="s">
        <v>161</v>
      </c>
      <c r="C46" s="1363" t="s">
        <v>162</v>
      </c>
      <c r="D46" s="1363" t="s">
        <v>163</v>
      </c>
      <c r="E46" s="2259"/>
      <c r="F46" s="2259"/>
      <c r="G46" s="2259"/>
      <c r="H46" s="2258">
        <v>1</v>
      </c>
      <c r="I46" s="1363"/>
      <c r="J46" s="1363"/>
      <c r="K46" s="1363"/>
      <c r="L46" s="1364"/>
      <c r="M46" s="1365"/>
      <c r="N46" s="1365"/>
      <c r="O46" s="1365"/>
      <c r="P46" s="354"/>
      <c r="Q46" s="352"/>
      <c r="R46" s="353"/>
      <c r="S46" s="1224" t="str">
        <f>INDEX(PT_DIFFERENTIATION_NUM_IST_TE,MATCH(D46,PT_DIFFERENTIATION_IST_TE_ID,0))</f>
        <v>...</v>
      </c>
      <c r="T46" s="310" t="s">
        <v>403</v>
      </c>
      <c r="U46" s="300"/>
      <c r="V46" s="2242"/>
      <c r="W46" s="2243"/>
      <c r="X46" s="2243"/>
      <c r="Y46" s="2243"/>
      <c r="Z46" s="2243"/>
      <c r="AA46" s="2243"/>
      <c r="AB46" s="2243"/>
      <c r="AC46" s="2244"/>
      <c r="AD46" s="2242" t="str">
        <f>INDEX(PT_DIFFERENTIATION_IST_TE,MATCH(D46,PT_DIFFERENTIATION_IST_TE_ID,0))</f>
        <v/>
      </c>
      <c r="AE46" s="2243"/>
      <c r="AF46" s="2243"/>
      <c r="AG46" s="2243"/>
      <c r="AH46" s="2243"/>
      <c r="AI46" s="2243"/>
      <c r="AJ46" s="2243"/>
      <c r="AK46" s="2243"/>
      <c r="AL46" s="2244"/>
      <c r="AM46" s="1258" t="s">
        <v>404</v>
      </c>
      <c r="AO46" s="500"/>
      <c r="AP46" s="500" t="str">
        <f>IF(T46="","",T46)</f>
        <v>Источник тепловой энергии  </v>
      </c>
      <c r="AQ46" s="500"/>
      <c r="AR46" s="500"/>
      <c r="AS46" s="1155">
        <v>23</v>
      </c>
    </row>
    <row customHeight="1" ht="49.5">
      <c r="A47" s="1363" t="s">
        <v>160</v>
      </c>
      <c r="B47" s="1363" t="s">
        <v>161</v>
      </c>
      <c r="C47" s="1363" t="s">
        <v>162</v>
      </c>
      <c r="D47" s="1363" t="s">
        <v>163</v>
      </c>
      <c r="E47" s="2259"/>
      <c r="F47" s="2259"/>
      <c r="G47" s="2259"/>
      <c r="H47" s="2259"/>
      <c r="I47" s="2256" t="str">
        <f>S46&amp;".1"</f>
        <v>....1</v>
      </c>
      <c r="J47" s="1363"/>
      <c r="K47" s="1363"/>
      <c r="L47" s="1364" t="s">
        <v>405</v>
      </c>
      <c r="P47" s="2257">
        <v>1</v>
      </c>
      <c r="Q47" s="1220"/>
      <c r="R47" s="356"/>
      <c r="S47" s="1224" t="str">
        <f>$I47</f>
        <v>....1</v>
      </c>
      <c r="T47" s="285" t="s">
        <v>406</v>
      </c>
      <c r="U47" s="300"/>
      <c r="V47" s="2245"/>
      <c r="W47" s="2246"/>
      <c r="X47" s="2246"/>
      <c r="Y47" s="2246"/>
      <c r="Z47" s="2246"/>
      <c r="AA47" s="2246"/>
      <c r="AB47" s="2246"/>
      <c r="AC47" s="2247"/>
      <c r="AD47" s="2245"/>
      <c r="AE47" s="2246"/>
      <c r="AF47" s="2246"/>
      <c r="AG47" s="2246"/>
      <c r="AH47" s="2246"/>
      <c r="AI47" s="2246"/>
      <c r="AJ47" s="2246"/>
      <c r="AK47" s="2246"/>
      <c r="AL47" s="2247"/>
      <c r="AM47" s="1258" t="s">
        <v>407</v>
      </c>
      <c r="AO47" s="500"/>
      <c r="AP47" s="500" t="str">
        <f>IF(T47="","",T47)</f>
        <v>Схема подключения теплопотребляющей установки к коллектору источника тепловой энергии</v>
      </c>
      <c r="AQ47" s="500"/>
      <c r="AR47" s="500"/>
      <c r="AS47" s="1155">
        <v>47</v>
      </c>
    </row>
    <row customHeight="1" ht="24">
      <c r="A48" s="1363" t="s">
        <v>160</v>
      </c>
      <c r="B48" s="1363" t="s">
        <v>161</v>
      </c>
      <c r="C48" s="1363" t="s">
        <v>162</v>
      </c>
      <c r="D48" s="1363" t="s">
        <v>163</v>
      </c>
      <c r="E48" s="2259"/>
      <c r="F48" s="2259"/>
      <c r="G48" s="2259"/>
      <c r="H48" s="2259"/>
      <c r="I48" s="2286"/>
      <c r="J48" s="2256" t="str">
        <f>I47&amp;".1"</f>
        <v>....1.1</v>
      </c>
      <c r="K48" s="1363"/>
      <c r="L48" s="1364" t="s">
        <v>408</v>
      </c>
      <c r="P48" s="2257"/>
      <c r="Q48" s="2257">
        <v>1</v>
      </c>
      <c r="R48" s="357"/>
      <c r="S48" s="1224" t="str">
        <f>$J48</f>
        <v>....1.1</v>
      </c>
      <c r="T48" s="286" t="s">
        <v>409</v>
      </c>
      <c r="U48" s="300"/>
      <c r="V48" s="2245"/>
      <c r="W48" s="2246"/>
      <c r="X48" s="2246"/>
      <c r="Y48" s="2246"/>
      <c r="Z48" s="2246"/>
      <c r="AA48" s="2246"/>
      <c r="AB48" s="2246"/>
      <c r="AC48" s="2247"/>
      <c r="AD48" s="2245"/>
      <c r="AE48" s="2246"/>
      <c r="AF48" s="2246"/>
      <c r="AG48" s="2246"/>
      <c r="AH48" s="2246"/>
      <c r="AI48" s="2246"/>
      <c r="AJ48" s="2246"/>
      <c r="AK48" s="2246"/>
      <c r="AL48" s="2247"/>
      <c r="AM48" s="1258" t="s">
        <v>410</v>
      </c>
      <c r="AO48" s="500"/>
      <c r="AP48" s="500" t="str">
        <f>IF(T48="","",T48)</f>
        <v>Группа потребителей</v>
      </c>
      <c r="AQ48" s="500"/>
      <c r="AR48" s="500"/>
      <c r="AS48" s="1155">
        <v>23</v>
      </c>
    </row>
    <row customHeight="1" ht="24">
      <c r="A49" s="1363" t="s">
        <v>160</v>
      </c>
      <c r="B49" s="1363" t="s">
        <v>161</v>
      </c>
      <c r="C49" s="1363" t="s">
        <v>162</v>
      </c>
      <c r="D49" s="1363" t="s">
        <v>163</v>
      </c>
      <c r="E49" s="2259"/>
      <c r="F49" s="2259"/>
      <c r="G49" s="2259"/>
      <c r="H49" s="2259"/>
      <c r="I49" s="2286"/>
      <c r="J49" s="2286"/>
      <c r="K49" s="2256" t="str">
        <f>J48&amp;".1"</f>
        <v>....1.1.1</v>
      </c>
      <c r="L49" s="1364" t="s">
        <v>411</v>
      </c>
      <c r="P49" s="2257"/>
      <c r="Q49" s="2257"/>
      <c r="R49" s="357">
        <v>1</v>
      </c>
      <c r="S49" s="1224" t="str">
        <f>$K49</f>
        <v>....1.1.1</v>
      </c>
      <c r="T49" s="1347"/>
      <c r="U49" s="300"/>
      <c r="V49" s="751"/>
      <c r="W49" s="325"/>
      <c r="X49" s="751"/>
      <c r="Y49" s="1257"/>
      <c r="Z49" s="2265"/>
      <c r="AA49" s="2107" t="s">
        <v>66</v>
      </c>
      <c r="AB49" s="2265"/>
      <c r="AC49" s="2107" t="s">
        <v>66</v>
      </c>
      <c r="AD49" s="751"/>
      <c r="AE49" s="325"/>
      <c r="AF49" s="751"/>
      <c r="AG49" s="1257"/>
      <c r="AH49" s="2265"/>
      <c r="AI49" s="2107" t="s">
        <v>66</v>
      </c>
      <c r="AJ49" s="2287"/>
      <c r="AK49" s="2107" t="s">
        <v>66</v>
      </c>
      <c r="AL49" s="1348"/>
      <c r="AM49" s="2253" t="s">
        <v>412</v>
      </c>
      <c r="AN49" s="511">
        <f>STRCHECKDATE(V50:AL50)</f>
      </c>
      <c r="AO49" s="500"/>
      <c r="AP49" s="500" t="str">
        <f>IF(T49="","",T49)</f>
        <v/>
      </c>
      <c r="AQ49" s="500"/>
      <c r="AR49" s="500"/>
      <c r="AS49" s="1155">
        <v>23</v>
      </c>
    </row>
    <row customHeight="1" ht="1.05">
      <c r="A50" s="1363" t="s">
        <v>160</v>
      </c>
      <c r="B50" s="1363" t="s">
        <v>161</v>
      </c>
      <c r="C50" s="1363" t="s">
        <v>162</v>
      </c>
      <c r="D50" s="1363" t="s">
        <v>163</v>
      </c>
      <c r="E50" s="2259"/>
      <c r="F50" s="2259"/>
      <c r="G50" s="2259"/>
      <c r="H50" s="2259"/>
      <c r="I50" s="2286"/>
      <c r="J50" s="2286"/>
      <c r="K50" s="2256"/>
      <c r="L50" s="1364"/>
      <c r="P50" s="2257"/>
      <c r="Q50" s="2257"/>
      <c r="R50" s="357"/>
      <c r="S50" s="1223"/>
      <c r="T50" s="300"/>
      <c r="U50" s="300"/>
      <c r="V50" s="325"/>
      <c r="W50" s="325"/>
      <c r="X50" s="325"/>
      <c r="Y50" s="328" t="str">
        <f>Z49&amp;"-"&amp;AB49</f>
        <v>-</v>
      </c>
      <c r="Z50" s="2266"/>
      <c r="AA50" s="2107"/>
      <c r="AB50" s="2266"/>
      <c r="AC50" s="2107"/>
      <c r="AD50" s="325"/>
      <c r="AE50" s="325"/>
      <c r="AF50" s="325"/>
      <c r="AG50" s="328" t="str">
        <f>AH49&amp;"-"&amp;AJ49</f>
        <v>-</v>
      </c>
      <c r="AH50" s="2266"/>
      <c r="AI50" s="2107"/>
      <c r="AJ50" s="2288"/>
      <c r="AK50" s="2107"/>
      <c r="AL50" s="1349"/>
      <c r="AM50" s="2254"/>
      <c r="AO50" s="500"/>
      <c r="AP50" s="500" t="str">
        <f>IF(T50="","",T50)</f>
        <v/>
      </c>
      <c r="AQ50" s="500"/>
      <c r="AR50" s="500"/>
      <c r="AS50" s="1155">
        <v>1</v>
      </c>
    </row>
    <row customHeight="1" ht="11.549999999999999">
      <c r="A51" s="1363" t="s">
        <v>160</v>
      </c>
      <c r="B51" s="1363" t="s">
        <v>161</v>
      </c>
      <c r="C51" s="1363" t="s">
        <v>162</v>
      </c>
      <c r="D51" s="1363" t="s">
        <v>163</v>
      </c>
      <c r="E51" s="2259"/>
      <c r="F51" s="2259"/>
      <c r="G51" s="2259"/>
      <c r="H51" s="2259"/>
      <c r="I51" s="2286"/>
      <c r="J51" s="2256"/>
      <c r="K51" s="1363"/>
      <c r="L51" s="1364"/>
      <c r="P51" s="2257"/>
      <c r="Q51" s="2257"/>
      <c r="R51" s="356"/>
      <c r="S51" s="1278"/>
      <c r="T51" s="288" t="s">
        <v>413</v>
      </c>
      <c r="U51" s="367"/>
      <c r="V51" s="367"/>
      <c r="W51" s="367"/>
      <c r="X51" s="367"/>
      <c r="Y51" s="367"/>
      <c r="Z51" s="367"/>
      <c r="AA51" s="367"/>
      <c r="AB51" s="367"/>
      <c r="AC51" s="367"/>
      <c r="AD51" s="367"/>
      <c r="AE51" s="367"/>
      <c r="AF51" s="367"/>
      <c r="AG51" s="367"/>
      <c r="AH51" s="367"/>
      <c r="AI51" s="367"/>
      <c r="AJ51" s="367"/>
      <c r="AK51" s="367"/>
      <c r="AL51" s="324"/>
      <c r="AM51" s="2255"/>
      <c r="AO51" s="500"/>
      <c r="AP51" s="500" t="str">
        <f>IF(T51="","",T51)</f>
        <v>Добавить вид теплоносителя (параметры теплоносителя)</v>
      </c>
      <c r="AQ51" s="500"/>
      <c r="AR51" s="500"/>
      <c r="AS51" s="1155">
        <v>11</v>
      </c>
    </row>
    <row customHeight="1" ht="11.549999999999999">
      <c r="A52" s="1363" t="s">
        <v>160</v>
      </c>
      <c r="B52" s="1363" t="s">
        <v>161</v>
      </c>
      <c r="C52" s="1363" t="s">
        <v>162</v>
      </c>
      <c r="D52" s="1363" t="s">
        <v>163</v>
      </c>
      <c r="E52" s="2259"/>
      <c r="F52" s="2259"/>
      <c r="G52" s="2259"/>
      <c r="H52" s="2259"/>
      <c r="I52" s="2256"/>
      <c r="J52" s="1363"/>
      <c r="K52" s="1363"/>
      <c r="L52" s="1364"/>
      <c r="P52" s="2257"/>
      <c r="Q52" s="1220"/>
      <c r="R52" s="356"/>
      <c r="S52" s="1278"/>
      <c r="T52" s="287" t="s">
        <v>414</v>
      </c>
      <c r="U52" s="367"/>
      <c r="V52" s="367"/>
      <c r="W52" s="367"/>
      <c r="X52" s="367"/>
      <c r="Y52" s="367"/>
      <c r="Z52" s="367"/>
      <c r="AA52" s="367"/>
      <c r="AB52" s="367"/>
      <c r="AC52" s="366"/>
      <c r="AD52" s="367"/>
      <c r="AE52" s="367"/>
      <c r="AF52" s="367"/>
      <c r="AG52" s="367"/>
      <c r="AH52" s="367"/>
      <c r="AI52" s="367"/>
      <c r="AJ52" s="367"/>
      <c r="AK52" s="366"/>
      <c r="AL52" s="367"/>
      <c r="AM52" s="303"/>
      <c r="AO52" s="500"/>
      <c r="AP52" s="500" t="str">
        <f>IF(T52="","",T52)</f>
        <v>Добавить группу потребителей</v>
      </c>
      <c r="AQ52" s="500"/>
      <c r="AR52" s="500"/>
      <c r="AS52" s="1155">
        <v>11</v>
      </c>
    </row>
    <row customHeight="1" ht="14.699999999999998">
      <c r="A53" s="1363" t="s">
        <v>160</v>
      </c>
      <c r="B53" s="1363" t="s">
        <v>161</v>
      </c>
      <c r="C53" s="1363" t="s">
        <v>162</v>
      </c>
      <c r="D53" s="1363" t="s">
        <v>163</v>
      </c>
      <c r="E53" s="2259"/>
      <c r="F53" s="2259"/>
      <c r="G53" s="2259"/>
      <c r="H53" s="2258"/>
      <c r="I53" s="1363"/>
      <c r="J53" s="1363"/>
      <c r="K53" s="1363"/>
      <c r="L53" s="1364"/>
      <c r="M53" s="1365"/>
      <c r="N53" s="1365"/>
      <c r="O53" s="537"/>
      <c r="P53" s="360"/>
      <c r="Q53" s="375"/>
      <c r="R53" s="355"/>
      <c r="S53" s="1278"/>
      <c r="T53" s="365" t="s">
        <v>415</v>
      </c>
      <c r="U53" s="367"/>
      <c r="V53" s="367"/>
      <c r="W53" s="367"/>
      <c r="X53" s="367"/>
      <c r="Y53" s="367"/>
      <c r="Z53" s="367"/>
      <c r="AA53" s="367"/>
      <c r="AB53" s="367"/>
      <c r="AC53" s="366"/>
      <c r="AD53" s="367"/>
      <c r="AE53" s="367"/>
      <c r="AF53" s="367"/>
      <c r="AG53" s="367"/>
      <c r="AH53" s="367"/>
      <c r="AI53" s="367"/>
      <c r="AJ53" s="367"/>
      <c r="AK53" s="366"/>
      <c r="AL53" s="367"/>
      <c r="AM53" s="303"/>
      <c r="AO53" s="500"/>
      <c r="AP53" s="500" t="str">
        <f>IF(T53="","",T53)</f>
        <v>Добавить схему подключения</v>
      </c>
      <c r="AQ53" s="500"/>
      <c r="AR53" s="500"/>
      <c r="AS53" s="1155">
        <v>14</v>
      </c>
    </row>
    <row s="1642" customFormat="1" customHeight="1" ht="1.05">
      <c r="A54" s="1343" t="s">
        <v>160</v>
      </c>
      <c r="B54" s="1343" t="s">
        <v>161</v>
      </c>
      <c r="C54" s="1343" t="s">
        <v>162</v>
      </c>
      <c r="D54" s="1314"/>
      <c r="E54" s="2259"/>
      <c r="F54" s="2259"/>
      <c r="G54" s="2258"/>
      <c r="H54" s="1314"/>
      <c r="I54" s="1314"/>
      <c r="J54" s="1314"/>
      <c r="K54" s="1314"/>
      <c r="L54" s="1339"/>
      <c r="M54" s="1315"/>
      <c r="N54" s="1315"/>
      <c r="P54" s="1316"/>
      <c r="Q54" s="1317"/>
      <c r="R54" s="1316"/>
      <c r="S54" s="1322"/>
      <c r="T54" s="1325" t="s">
        <v>416</v>
      </c>
      <c r="U54" s="1324"/>
      <c r="V54" s="1324"/>
      <c r="W54" s="1324"/>
      <c r="X54" s="1324"/>
      <c r="Y54" s="1324"/>
      <c r="Z54" s="1324"/>
      <c r="AA54" s="1324"/>
      <c r="AB54" s="1324"/>
      <c r="AC54" s="1324"/>
      <c r="AD54" s="1324"/>
      <c r="AE54" s="1324"/>
      <c r="AF54" s="1324"/>
      <c r="AG54" s="1324"/>
      <c r="AH54" s="1324"/>
      <c r="AI54" s="1324"/>
      <c r="AJ54" s="1324"/>
      <c r="AK54" s="1324"/>
      <c r="AL54" s="1324"/>
      <c r="AM54" s="1324"/>
      <c r="AO54" s="789"/>
      <c r="AP54" s="789" t="str">
        <f>IF(T54="","",T54)</f>
        <v>Добавить источник для дифференциации</v>
      </c>
      <c r="AQ54" s="789"/>
      <c r="AR54" s="789"/>
      <c r="AS54" s="518">
        <v>1</v>
      </c>
    </row>
    <row s="1642" customFormat="1" customHeight="1" ht="1.05">
      <c r="A55" s="1343" t="s">
        <v>160</v>
      </c>
      <c r="B55" s="1343" t="s">
        <v>161</v>
      </c>
      <c r="C55" s="1314"/>
      <c r="D55" s="1314"/>
      <c r="E55" s="2259"/>
      <c r="F55" s="2258"/>
      <c r="G55" s="1314"/>
      <c r="H55" s="1314"/>
      <c r="I55" s="1314"/>
      <c r="J55" s="1314"/>
      <c r="K55" s="1314"/>
      <c r="L55" s="1339"/>
      <c r="M55" s="1321"/>
      <c r="N55" s="1321"/>
      <c r="P55" s="1316"/>
      <c r="Q55" s="1317"/>
      <c r="R55" s="1316"/>
      <c r="S55" s="1322"/>
      <c r="T55" s="1325" t="s">
        <v>417</v>
      </c>
      <c r="U55" s="1324"/>
      <c r="V55" s="1324"/>
      <c r="W55" s="1324"/>
      <c r="X55" s="1324"/>
      <c r="Y55" s="1324"/>
      <c r="Z55" s="1324"/>
      <c r="AA55" s="1324"/>
      <c r="AB55" s="1324"/>
      <c r="AC55" s="1324"/>
      <c r="AD55" s="1324"/>
      <c r="AE55" s="1324"/>
      <c r="AF55" s="1324"/>
      <c r="AG55" s="1324"/>
      <c r="AH55" s="1324"/>
      <c r="AI55" s="1324"/>
      <c r="AJ55" s="1324"/>
      <c r="AK55" s="1324"/>
      <c r="AL55" s="1324"/>
      <c r="AM55" s="1324"/>
      <c r="AO55" s="789"/>
      <c r="AP55" s="789" t="str">
        <f>IF(T55="","",T55)</f>
        <v>Добавить централизованную систему для дифференциации</v>
      </c>
      <c r="AQ55" s="789"/>
      <c r="AR55" s="789"/>
      <c r="AS55" s="518">
        <v>1</v>
      </c>
    </row>
    <row s="1642" customFormat="1" customHeight="1" ht="1.05">
      <c r="A56" s="1343" t="s">
        <v>160</v>
      </c>
      <c r="B56" s="1343"/>
      <c r="C56" s="1343"/>
      <c r="D56" s="1343"/>
      <c r="E56" s="2258"/>
      <c r="F56" s="1343"/>
      <c r="G56" s="1343"/>
      <c r="H56" s="1343"/>
      <c r="I56" s="1343"/>
      <c r="J56" s="1343"/>
      <c r="K56" s="1343"/>
      <c r="L56" s="1346"/>
      <c r="M56" s="1321"/>
      <c r="N56" s="1321"/>
      <c r="O56" s="518"/>
      <c r="P56" s="380"/>
      <c r="Q56" s="1344"/>
      <c r="R56" s="380"/>
      <c r="S56" s="1322"/>
      <c r="T56" s="1325" t="s">
        <v>418</v>
      </c>
      <c r="U56" s="1324"/>
      <c r="V56" s="1324"/>
      <c r="W56" s="1324"/>
      <c r="X56" s="1324"/>
      <c r="Y56" s="1324"/>
      <c r="Z56" s="1324"/>
      <c r="AA56" s="1324"/>
      <c r="AB56" s="1324"/>
      <c r="AC56" s="1324"/>
      <c r="AD56" s="1324"/>
      <c r="AE56" s="1324"/>
      <c r="AF56" s="1324"/>
      <c r="AG56" s="1324"/>
      <c r="AH56" s="1324"/>
      <c r="AI56" s="1324"/>
      <c r="AJ56" s="1324"/>
      <c r="AK56" s="1324"/>
      <c r="AL56" s="1324"/>
      <c r="AM56" s="1324"/>
      <c r="AO56" s="500"/>
      <c r="AP56" s="500" t="str">
        <f>IF(T56="","",T56)</f>
        <v>Добавить территорию для дифференциации</v>
      </c>
      <c r="AQ56" s="500"/>
      <c r="AR56" s="500"/>
      <c r="AS56" s="511">
        <v>1</v>
      </c>
    </row>
    <row s="1642" customFormat="1" customHeight="1" ht="1.05">
      <c r="A57" s="1314"/>
      <c r="B57" s="1314"/>
      <c r="C57" s="1314"/>
      <c r="D57" s="1314"/>
      <c r="E57" s="1343"/>
      <c r="F57" s="1314"/>
      <c r="G57" s="1314"/>
      <c r="H57" s="1314"/>
      <c r="I57" s="1314"/>
      <c r="J57" s="1314"/>
      <c r="K57" s="1314"/>
      <c r="L57" s="1339"/>
      <c r="M57" s="1321"/>
      <c r="N57" s="1321"/>
      <c r="P57" s="1316"/>
      <c r="Q57" s="1317"/>
      <c r="R57" s="1316"/>
      <c r="S57" s="1322"/>
      <c r="T57" s="1325" t="s">
        <v>450</v>
      </c>
      <c r="U57" s="1324"/>
      <c r="V57" s="1324"/>
      <c r="W57" s="1324"/>
      <c r="X57" s="1324"/>
      <c r="Y57" s="1324"/>
      <c r="Z57" s="1324"/>
      <c r="AA57" s="1324"/>
      <c r="AB57" s="1324"/>
      <c r="AC57" s="1324"/>
      <c r="AD57" s="1324"/>
      <c r="AE57" s="1324"/>
      <c r="AF57" s="1324"/>
      <c r="AG57" s="1324"/>
      <c r="AH57" s="1324"/>
      <c r="AI57" s="1324"/>
      <c r="AJ57" s="1324"/>
      <c r="AK57" s="1324"/>
      <c r="AL57" s="1324"/>
      <c r="AM57" s="1324"/>
      <c r="AO57" s="789"/>
      <c r="AP57" s="789" t="str">
        <f>IF(T57="","",T57)</f>
        <v>Добавить наименование тарифа</v>
      </c>
      <c r="AQ57" s="789"/>
      <c r="AR57" s="789"/>
      <c r="AS57" s="518">
        <v>1</v>
      </c>
    </row>
    <row customHeight="1" ht="11.549999999999999">
      <c r="M58" s="1160"/>
      <c r="N58" s="1160"/>
      <c r="O58" s="537"/>
      <c r="P58" s="1155"/>
      <c r="Q58" s="1155"/>
      <c r="R58" s="1155"/>
      <c r="S58" s="1155"/>
      <c r="AN58" s="1155"/>
      <c r="AO58" s="1155"/>
      <c r="AP58" s="1155"/>
      <c r="AQ58" s="1155"/>
      <c r="AR58" s="1155"/>
      <c r="AS58" s="1155">
        <v>11</v>
      </c>
    </row>
    <row customHeight="1" ht="28.5">
      <c r="O59" s="537"/>
      <c r="S59" s="1253"/>
      <c r="T59" s="2285"/>
      <c r="U59" s="2285"/>
      <c r="V59" s="2285"/>
      <c r="W59" s="2285"/>
      <c r="X59" s="2285"/>
      <c r="Y59" s="2285"/>
      <c r="Z59" s="2285"/>
      <c r="AA59" s="2285"/>
      <c r="AB59" s="2285"/>
      <c r="AC59" s="2285"/>
      <c r="AD59" s="2285"/>
      <c r="AE59" s="2285"/>
      <c r="AF59" s="2285"/>
      <c r="AG59" s="2285"/>
      <c r="AH59" s="2285"/>
      <c r="AI59" s="2285"/>
      <c r="AJ59" s="2285"/>
      <c r="AK59" s="2285"/>
      <c r="AL59" s="2285"/>
      <c r="AM59" s="2285"/>
      <c r="AS59" s="1155">
        <v>27</v>
      </c>
    </row>
    <row customHeight="1" ht="67.2">
      <c r="O60" s="537"/>
      <c r="P60" s="1303"/>
      <c r="T60" s="2285"/>
      <c r="U60" s="2285"/>
      <c r="V60" s="2285"/>
      <c r="W60" s="2285"/>
      <c r="X60" s="2285"/>
      <c r="Y60" s="2285"/>
      <c r="Z60" s="2285"/>
      <c r="AA60" s="2285"/>
      <c r="AB60" s="2285"/>
      <c r="AC60" s="2285"/>
      <c r="AD60" s="2285"/>
      <c r="AE60" s="2285"/>
      <c r="AF60" s="2285"/>
      <c r="AG60" s="2285"/>
      <c r="AH60" s="2285"/>
      <c r="AI60" s="2285"/>
      <c r="AJ60" s="2285"/>
      <c r="AK60" s="2285"/>
      <c r="AL60" s="2285"/>
      <c r="AM60" s="2285"/>
      <c r="AS60" s="1155">
        <v>64</v>
      </c>
    </row>
    <row customHeight="1" ht="14.699999999999998">
      <c r="O61" s="537"/>
      <c r="AS61" s="1155">
        <v>14</v>
      </c>
    </row>
    <row customHeight="1" ht="18.75">
      <c r="O62" s="537"/>
      <c r="P62" s="1328"/>
      <c r="S62" s="1253"/>
      <c r="T62" s="2285"/>
      <c r="U62" s="2285"/>
      <c r="V62" s="2285"/>
      <c r="W62" s="2285"/>
      <c r="X62" s="2285"/>
      <c r="Y62" s="2285"/>
      <c r="Z62" s="2285"/>
      <c r="AA62" s="2285"/>
      <c r="AB62" s="2285"/>
      <c r="AC62" s="2285"/>
      <c r="AD62" s="2285"/>
      <c r="AE62" s="2285"/>
      <c r="AF62" s="2285"/>
      <c r="AG62" s="2285"/>
      <c r="AH62" s="2285"/>
      <c r="AI62" s="2285"/>
      <c r="AJ62" s="2285"/>
      <c r="AK62" s="2285"/>
      <c r="AL62" s="2285"/>
      <c r="AM62" s="2285"/>
      <c r="AS62" s="1155">
        <v>18</v>
      </c>
    </row>
    <row customHeight="1" ht="18.75">
      <c r="O63" s="537"/>
      <c r="P63" s="1328"/>
      <c r="T63" s="2285"/>
      <c r="U63" s="2285"/>
      <c r="V63" s="2285"/>
      <c r="W63" s="2285"/>
      <c r="X63" s="2285"/>
      <c r="Y63" s="2285"/>
      <c r="Z63" s="2285"/>
      <c r="AA63" s="2285"/>
      <c r="AB63" s="2285"/>
      <c r="AC63" s="2285"/>
      <c r="AD63" s="2285"/>
      <c r="AE63" s="2285"/>
      <c r="AF63" s="2285"/>
      <c r="AG63" s="2285"/>
      <c r="AH63" s="2285"/>
      <c r="AI63" s="2285"/>
      <c r="AJ63" s="2285"/>
      <c r="AK63" s="2285"/>
      <c r="AL63" s="2285"/>
      <c r="AM63" s="2285"/>
      <c r="AS63" s="1155">
        <v>18</v>
      </c>
    </row>
    <row customHeight="1" ht="29.25">
      <c r="O64" s="537"/>
      <c r="P64" s="1328"/>
      <c r="S64" s="1253"/>
      <c r="T64" s="2285"/>
      <c r="U64" s="2285"/>
      <c r="V64" s="2285"/>
      <c r="W64" s="2285"/>
      <c r="X64" s="2285"/>
      <c r="Y64" s="2285"/>
      <c r="Z64" s="2285"/>
      <c r="AA64" s="2285"/>
      <c r="AB64" s="2285"/>
      <c r="AC64" s="2285"/>
      <c r="AD64" s="2285"/>
      <c r="AE64" s="2285"/>
      <c r="AF64" s="2285"/>
      <c r="AG64" s="2285"/>
      <c r="AH64" s="2285"/>
      <c r="AI64" s="2285"/>
      <c r="AJ64" s="2285"/>
      <c r="AK64" s="2285"/>
      <c r="AL64" s="2285"/>
      <c r="AM64" s="2285"/>
      <c r="AS64" s="1155">
        <v>28</v>
      </c>
    </row>
    <row customHeight="1" ht="22.5" hidden="1">
      <c r="A65" s="1160" t="s">
        <v>82</v>
      </c>
      <c r="B65" s="1160">
        <v>0</v>
      </c>
      <c r="C65" s="1160">
        <v>0</v>
      </c>
      <c r="D65" s="1160">
        <v>0</v>
      </c>
      <c r="E65" s="1160">
        <v>0</v>
      </c>
      <c r="F65" s="1160">
        <v>0</v>
      </c>
      <c r="G65" s="1160">
        <v>0</v>
      </c>
      <c r="H65" s="1160">
        <v>0</v>
      </c>
      <c r="I65" s="1160">
        <v>0</v>
      </c>
      <c r="J65" s="1160">
        <v>0</v>
      </c>
      <c r="K65" s="1160">
        <v>0</v>
      </c>
      <c r="L65" s="1329">
        <v>0</v>
      </c>
      <c r="M65" s="1362">
        <v>0</v>
      </c>
      <c r="N65" s="1362">
        <v>0</v>
      </c>
      <c r="O65" s="1362">
        <v>0</v>
      </c>
      <c r="P65" s="1218">
        <v>3</v>
      </c>
      <c r="Q65" s="344">
        <v>3</v>
      </c>
      <c r="R65" s="344">
        <v>3</v>
      </c>
      <c r="S65" s="581">
        <v>12</v>
      </c>
      <c r="T65" s="1155">
        <v>35</v>
      </c>
      <c r="U65" s="1155">
        <v>0</v>
      </c>
      <c r="V65" s="1155">
        <v>0</v>
      </c>
      <c r="W65" s="1155">
        <v>0</v>
      </c>
      <c r="X65" s="1155">
        <v>0</v>
      </c>
      <c r="Y65" s="1155">
        <v>0</v>
      </c>
      <c r="Z65" s="1155">
        <v>0</v>
      </c>
      <c r="AA65" s="1155">
        <v>0</v>
      </c>
      <c r="AB65" s="1155">
        <v>0</v>
      </c>
      <c r="AC65" s="1155">
        <v>0</v>
      </c>
      <c r="AD65" s="1155">
        <v>24</v>
      </c>
      <c r="AE65" s="1155">
        <v>0</v>
      </c>
      <c r="AF65" s="1155">
        <v>24</v>
      </c>
      <c r="AG65" s="1155">
        <v>24</v>
      </c>
      <c r="AH65" s="1155">
        <v>11</v>
      </c>
      <c r="AI65" s="1155">
        <v>3</v>
      </c>
      <c r="AJ65" s="1155">
        <v>11</v>
      </c>
      <c r="AK65" s="1155">
        <v>0</v>
      </c>
      <c r="AL65" s="1155">
        <v>4</v>
      </c>
      <c r="AM65" s="1155">
        <v>115</v>
      </c>
      <c r="AN65" s="511">
        <v>10</v>
      </c>
      <c r="AO65" s="511">
        <v>10</v>
      </c>
      <c r="AP65" s="511">
        <v>10</v>
      </c>
      <c r="AQ65" s="511">
        <v>10</v>
      </c>
      <c r="AR65" s="511">
        <v>10</v>
      </c>
      <c r="AS65" s="1155">
        <v>23</v>
      </c>
    </row>
  </sheetData>
  <sheetProtection formatColumns="0" formatRows="0" autoFilter="0" sort="0" insertRows="0" insertColumns="1" deleteRows="0" deleteColumns="0"/>
  <mergeCells count="112">
    <mergeCell ref="V7:AC7"/>
    <mergeCell ref="AD7:AL7"/>
    <mergeCell ref="S34:T34"/>
    <mergeCell ref="V34:AB34"/>
    <mergeCell ref="AD34:AJ34"/>
    <mergeCell ref="S35:T35"/>
    <mergeCell ref="V35:AB35"/>
    <mergeCell ref="AD35:AJ35"/>
    <mergeCell ref="V2:AC2"/>
    <mergeCell ref="AD2:AL2"/>
    <mergeCell ref="V3:AC3"/>
    <mergeCell ref="AD3:AL3"/>
    <mergeCell ref="V4:AC4"/>
    <mergeCell ref="AD4:AL4"/>
    <mergeCell ref="V5:AC5"/>
    <mergeCell ref="AD5:AL5"/>
    <mergeCell ref="V6:AC6"/>
    <mergeCell ref="AD6:AL6"/>
    <mergeCell ref="AI17:AI18"/>
    <mergeCell ref="AJ17:AJ18"/>
    <mergeCell ref="AK17:AK18"/>
    <mergeCell ref="AK8:AK9"/>
    <mergeCell ref="AD29:AJ29"/>
    <mergeCell ref="AD30:AJ30"/>
    <mergeCell ref="T62:AM62"/>
    <mergeCell ref="T63:AM63"/>
    <mergeCell ref="T64:AM64"/>
    <mergeCell ref="E2:E15"/>
    <mergeCell ref="F3:F14"/>
    <mergeCell ref="G4:G13"/>
    <mergeCell ref="H5:H12"/>
    <mergeCell ref="I6:I11"/>
    <mergeCell ref="J7:J10"/>
    <mergeCell ref="I47:I52"/>
    <mergeCell ref="J48:J51"/>
    <mergeCell ref="K49:K50"/>
    <mergeCell ref="P47:P52"/>
    <mergeCell ref="Q48:Q51"/>
    <mergeCell ref="AH49:AH50"/>
    <mergeCell ref="AI49:AI50"/>
    <mergeCell ref="AJ49:AJ50"/>
    <mergeCell ref="AK49:AK50"/>
    <mergeCell ref="T59:AM59"/>
    <mergeCell ref="W40:W41"/>
    <mergeCell ref="T60:AM60"/>
    <mergeCell ref="Z49:Z50"/>
    <mergeCell ref="AA49:AA50"/>
    <mergeCell ref="AB49:AB50"/>
    <mergeCell ref="Z40:AB40"/>
    <mergeCell ref="AA41:AB41"/>
    <mergeCell ref="AA42:AB42"/>
    <mergeCell ref="V37:AC37"/>
    <mergeCell ref="S38:AL38"/>
    <mergeCell ref="AM38:AM41"/>
    <mergeCell ref="S39:S41"/>
    <mergeCell ref="T39:T41"/>
    <mergeCell ref="V39:AB39"/>
    <mergeCell ref="AC39:AC41"/>
    <mergeCell ref="AL39:AL41"/>
    <mergeCell ref="AI42:AJ42"/>
    <mergeCell ref="AD39:AJ39"/>
    <mergeCell ref="AK39:AK41"/>
    <mergeCell ref="AD40:AD41"/>
    <mergeCell ref="AE40:AE41"/>
    <mergeCell ref="AF40:AG40"/>
    <mergeCell ref="AH40:AJ40"/>
    <mergeCell ref="AI41:AJ41"/>
    <mergeCell ref="AC49:AC50"/>
    <mergeCell ref="AM49:AM51"/>
    <mergeCell ref="AM8:AM10"/>
    <mergeCell ref="K8:K9"/>
    <mergeCell ref="P6:P11"/>
    <mergeCell ref="E43:E56"/>
    <mergeCell ref="F44:F55"/>
    <mergeCell ref="G45:G54"/>
    <mergeCell ref="H46:H53"/>
    <mergeCell ref="V40:V41"/>
    <mergeCell ref="X40:Y40"/>
    <mergeCell ref="V29:AB29"/>
    <mergeCell ref="V30:AB30"/>
    <mergeCell ref="V31:AB31"/>
    <mergeCell ref="V32:AB32"/>
    <mergeCell ref="Q7:Q10"/>
    <mergeCell ref="AH8:AH9"/>
    <mergeCell ref="AI8:AI9"/>
    <mergeCell ref="AJ8:AJ9"/>
    <mergeCell ref="Z8:Z9"/>
    <mergeCell ref="AA8:AA9"/>
    <mergeCell ref="AB8:AB9"/>
    <mergeCell ref="AC8:AC9"/>
    <mergeCell ref="AH17:AH18"/>
    <mergeCell ref="S26:AJ26"/>
    <mergeCell ref="S27:AJ27"/>
    <mergeCell ref="S29:T29"/>
    <mergeCell ref="S30:T30"/>
    <mergeCell ref="S31:T31"/>
    <mergeCell ref="S32:T32"/>
    <mergeCell ref="AD31:AJ31"/>
    <mergeCell ref="AD32:AJ32"/>
    <mergeCell ref="AD37:AK37"/>
    <mergeCell ref="V43:AC43"/>
    <mergeCell ref="V44:AC44"/>
    <mergeCell ref="V45:AC45"/>
    <mergeCell ref="V46:AC46"/>
    <mergeCell ref="V47:AC47"/>
    <mergeCell ref="V48:AC48"/>
    <mergeCell ref="AD43:AL43"/>
    <mergeCell ref="AD44:AL44"/>
    <mergeCell ref="AD45:AL45"/>
    <mergeCell ref="AD46:AL46"/>
    <mergeCell ref="AD47:AL47"/>
    <mergeCell ref="AD48:AL48"/>
  </mergeCells>
  <dataValidations count="8">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Y50 AG18 AG50"/>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4A66117-AAB6-3EB1-4815-FAF3E0F2F793}" mc:Ignorable="x14ac xr xr2 xr3">
  <sheetPr>
    <tabColor theme="6" tint="0.4"/>
  </sheetPr>
  <dimension ref="A1:AS65"/>
  <sheetViews>
    <sheetView showGridLines="0" zoomScale="90" workbookViewId="0">
      <pane xSplit="29" ySplit="42" topLeftCell="AD43" activePane="bottomRight" state="frozen"/>
      <selection pane="bottomLeft" activeCell="A43" sqref="A43"/>
      <selection pane="topRight" activeCell="AD1" sqref="AD1"/>
      <selection pane="bottomRight" activeCell="A1" sqref="A1"/>
    </sheetView>
  </sheetViews>
  <sheetFormatPr defaultColWidth="10.57421875" customHeight="1" defaultRowHeight="14.25"/>
  <cols>
    <col min="1" max="1" style="1366" width="10.57421875" hidden="1"/>
    <col min="2" max="2" style="1366" width="11.00390625" hidden="1" customWidth="1"/>
    <col min="3" max="3" style="1366" width="10.57421875" hidden="1"/>
    <col min="4" max="4" style="1366" width="11.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2.00390625" hidden="1" customWidth="1"/>
    <col min="10" max="10" style="1366" width="9.8515625" hidden="1" customWidth="1"/>
    <col min="11" max="11" style="1366" width="11.421875" hidden="1" customWidth="1"/>
    <col min="12" max="12" style="2607" width="19.140625" hidden="1" customWidth="1"/>
    <col min="13" max="14" style="1776" width="12.28125" hidden="1" customWidth="1"/>
    <col min="15" max="15" style="1776" width="23.421875" hidden="1" customWidth="1"/>
    <col min="16" max="16" style="2397" width="3.00390625" customWidth="1"/>
    <col min="17" max="18" style="344" width="3.00390625" customWidth="1"/>
    <col min="19" max="19" style="2407" width="12.00390625" customWidth="1"/>
    <col min="20" max="20" style="1635" width="31.00390625" customWidth="1"/>
    <col min="21" max="21" style="1635" width="0.140625" customWidth="1"/>
    <col min="22" max="22" style="1635" width="24.7109375" hidden="1" customWidth="1"/>
    <col min="23" max="23" style="1635" width="0.140625" hidden="1" customWidth="1"/>
    <col min="24" max="25" style="1635" width="24.7109375" hidden="1" customWidth="1"/>
    <col min="26" max="26" style="1635" width="11.7109375" hidden="1" customWidth="1"/>
    <col min="27" max="27" style="1635" width="3.7109375" hidden="1" customWidth="1"/>
    <col min="28" max="28" style="1635" width="11.7109375" hidden="1" customWidth="1"/>
    <col min="29" max="29" style="1635" width="8.57421875" hidden="1" customWidth="1"/>
    <col min="30" max="30" style="1635" width="24.7109375" customWidth="1"/>
    <col min="31" max="31" style="1635" width="0.140625" customWidth="1"/>
    <col min="32" max="33" style="1635" width="24.00390625" customWidth="1"/>
    <col min="34" max="34" style="1635" width="11.00390625" customWidth="1"/>
    <col min="35" max="35" style="1635" width="3.7109375" customWidth="1"/>
    <col min="36" max="36" style="1635" width="11.00390625" customWidth="1"/>
    <col min="37" max="37" style="1635" width="8.57421875" hidden="1" customWidth="1"/>
    <col min="38" max="38" style="1635" width="4.00390625" customWidth="1"/>
    <col min="39" max="39" style="1635" width="115.00390625" customWidth="1"/>
    <col min="40" max="44" style="1642" width="10.00390625" customWidth="1"/>
    <col min="45" max="45" style="1635" width="10.57421875" hidden="1"/>
  </cols>
  <sheetData>
    <row customHeight="1" ht="22.5" hidden="1">
      <c r="Y1" s="327"/>
      <c r="Z1" s="327"/>
      <c r="AG1" s="327"/>
      <c r="AH1" s="327"/>
      <c r="AS1" s="1155" t="s">
        <v>14</v>
      </c>
    </row>
    <row customHeight="1" ht="21" hidden="1">
      <c r="A2" s="1363"/>
      <c r="B2" s="1363"/>
      <c r="C2" s="1363"/>
      <c r="D2" s="1363"/>
      <c r="E2" s="2258">
        <v>1</v>
      </c>
      <c r="F2" s="1363"/>
      <c r="G2" s="1363"/>
      <c r="H2" s="1363"/>
      <c r="I2" s="1363"/>
      <c r="J2" s="1363"/>
      <c r="K2" s="1363"/>
      <c r="L2" s="1364"/>
      <c r="M2" s="1365"/>
      <c r="N2" s="1365"/>
      <c r="O2" s="1365"/>
      <c r="P2" s="361"/>
      <c r="Q2" s="360"/>
      <c r="R2" s="355"/>
      <c r="S2" s="1336">
        <f>INDEX(PT_DIFFERENTIATION_NUM_NTAR,MATCH(A2,PT_DIFFERENTIATION_NTAR_ID,0))</f>
      </c>
      <c r="T2" s="298" t="s">
        <v>127</v>
      </c>
      <c r="U2" s="300"/>
      <c r="V2" s="2242"/>
      <c r="W2" s="2243"/>
      <c r="X2" s="2243"/>
      <c r="Y2" s="2243"/>
      <c r="Z2" s="2243"/>
      <c r="AA2" s="2243"/>
      <c r="AB2" s="2243"/>
      <c r="AC2" s="2244"/>
      <c r="AD2" s="2242">
        <f>INDEX(PT_DIFFERENTIATION_NTAR,MATCH(A2,PT_DIFFERENTIATION_NTAR_ID,0))</f>
      </c>
      <c r="AE2" s="2243"/>
      <c r="AF2" s="2243"/>
      <c r="AG2" s="2243"/>
      <c r="AH2" s="2243"/>
      <c r="AI2" s="2243"/>
      <c r="AJ2" s="2243"/>
      <c r="AK2" s="2243"/>
      <c r="AL2" s="2244"/>
      <c r="AM2" s="1258" t="s">
        <v>398</v>
      </c>
      <c r="AO2" s="500"/>
      <c r="AP2" s="500" t="str">
        <f>IF(T2="","",T2)</f>
        <v>Наименование тарифа</v>
      </c>
      <c r="AQ2" s="500"/>
      <c r="AR2" s="500"/>
      <c r="AS2" s="1155">
        <v>0</v>
      </c>
    </row>
    <row customHeight="1" ht="21" hidden="1">
      <c r="A3" s="1363"/>
      <c r="B3" s="1363"/>
      <c r="C3" s="1363"/>
      <c r="D3" s="1363"/>
      <c r="E3" s="2259"/>
      <c r="F3" s="2258">
        <v>1</v>
      </c>
      <c r="G3" s="1363"/>
      <c r="H3" s="1363"/>
      <c r="I3" s="1363"/>
      <c r="J3" s="1363"/>
      <c r="K3" s="1363"/>
      <c r="L3" s="1364"/>
      <c r="M3" s="1365"/>
      <c r="N3" s="1365"/>
      <c r="O3" s="1365"/>
      <c r="P3" s="1332"/>
      <c r="Q3" s="352"/>
      <c r="R3" s="353"/>
      <c r="S3" s="1336">
        <f>INDEX(PT_DIFFERENTIATION_NUM_TER,MATCH(B3,PT_DIFFERENTIATION_TER_ID,0))</f>
      </c>
      <c r="T3" s="308" t="s">
        <v>399</v>
      </c>
      <c r="U3" s="300"/>
      <c r="V3" s="2242"/>
      <c r="W3" s="2243"/>
      <c r="X3" s="2243"/>
      <c r="Y3" s="2243"/>
      <c r="Z3" s="2243"/>
      <c r="AA3" s="2243"/>
      <c r="AB3" s="2243"/>
      <c r="AC3" s="2244"/>
      <c r="AD3" s="2242">
        <f>INDEX(PT_DIFFERENTIATION_TER,MATCH(B3,PT_DIFFERENTIATION_TER_ID,0))</f>
      </c>
      <c r="AE3" s="2243"/>
      <c r="AF3" s="2243"/>
      <c r="AG3" s="2243"/>
      <c r="AH3" s="2243"/>
      <c r="AI3" s="2243"/>
      <c r="AJ3" s="2243"/>
      <c r="AK3" s="2243"/>
      <c r="AL3" s="2244"/>
      <c r="AM3" s="1258" t="s">
        <v>400</v>
      </c>
      <c r="AO3" s="500"/>
      <c r="AP3" s="500" t="str">
        <f>IF(T3="","",T3)</f>
        <v>Территория действия тарифа</v>
      </c>
      <c r="AQ3" s="500"/>
      <c r="AR3" s="500"/>
      <c r="AS3" s="1155">
        <v>0</v>
      </c>
    </row>
    <row customHeight="1" ht="23.25" hidden="1">
      <c r="A4" s="1363"/>
      <c r="B4" s="1363"/>
      <c r="C4" s="1363"/>
      <c r="D4" s="1363"/>
      <c r="E4" s="2259"/>
      <c r="F4" s="2259"/>
      <c r="G4" s="2258">
        <v>1</v>
      </c>
      <c r="H4" s="1363"/>
      <c r="I4" s="1363"/>
      <c r="J4" s="1363"/>
      <c r="K4" s="1363"/>
      <c r="L4" s="1364"/>
      <c r="M4" s="1365"/>
      <c r="N4" s="1365"/>
      <c r="O4" s="1365"/>
      <c r="P4" s="354"/>
      <c r="Q4" s="352"/>
      <c r="R4" s="353"/>
      <c r="S4" s="1336">
        <f>INDEX(PT_DIFFERENTIATION_NUM_CS,MATCH(C4,PT_DIFFERENTIATION_CS_ID,0))</f>
      </c>
      <c r="T4" s="309" t="s">
        <v>401</v>
      </c>
      <c r="U4" s="300"/>
      <c r="V4" s="2242"/>
      <c r="W4" s="2243"/>
      <c r="X4" s="2243"/>
      <c r="Y4" s="2243"/>
      <c r="Z4" s="2243"/>
      <c r="AA4" s="2243"/>
      <c r="AB4" s="2243"/>
      <c r="AC4" s="2244"/>
      <c r="AD4" s="2242">
        <f>INDEX(PT_DIFFERENTIATION_CS,MATCH(C4,PT_DIFFERENTIATION_CS_ID,0))</f>
      </c>
      <c r="AE4" s="2243"/>
      <c r="AF4" s="2243"/>
      <c r="AG4" s="2243"/>
      <c r="AH4" s="2243"/>
      <c r="AI4" s="2243"/>
      <c r="AJ4" s="2243"/>
      <c r="AK4" s="2243"/>
      <c r="AL4" s="2244"/>
      <c r="AM4" s="1258" t="s">
        <v>402</v>
      </c>
      <c r="AO4" s="500"/>
      <c r="AP4" s="500" t="str">
        <f>IF(T4="","",T4)</f>
        <v>Наименование системы теплоснабжения </v>
      </c>
      <c r="AQ4" s="500"/>
      <c r="AR4" s="500"/>
      <c r="AS4" s="1155">
        <v>0</v>
      </c>
    </row>
    <row customHeight="1" ht="21" hidden="1">
      <c r="A5" s="1363"/>
      <c r="B5" s="1363"/>
      <c r="C5" s="1363"/>
      <c r="D5" s="1363"/>
      <c r="E5" s="2259"/>
      <c r="F5" s="2259"/>
      <c r="G5" s="2259"/>
      <c r="H5" s="2258">
        <v>1</v>
      </c>
      <c r="I5" s="1363"/>
      <c r="J5" s="1363"/>
      <c r="K5" s="1363"/>
      <c r="L5" s="1364"/>
      <c r="M5" s="1365"/>
      <c r="N5" s="1365"/>
      <c r="O5" s="1365"/>
      <c r="P5" s="354"/>
      <c r="Q5" s="352"/>
      <c r="R5" s="353"/>
      <c r="S5" s="1336">
        <f>INDEX(PT_DIFFERENTIATION_NUM_IST_TE,MATCH(D5,PT_DIFFERENTIATION_IST_TE_ID,0))</f>
      </c>
      <c r="T5" s="310" t="s">
        <v>403</v>
      </c>
      <c r="U5" s="300"/>
      <c r="V5" s="2242"/>
      <c r="W5" s="2243"/>
      <c r="X5" s="2243"/>
      <c r="Y5" s="2243"/>
      <c r="Z5" s="2243"/>
      <c r="AA5" s="2243"/>
      <c r="AB5" s="2243"/>
      <c r="AC5" s="2244"/>
      <c r="AD5" s="2242">
        <f>INDEX(PT_DIFFERENTIATION_IST_TE,MATCH(D5,PT_DIFFERENTIATION_IST_TE_ID,0))</f>
      </c>
      <c r="AE5" s="2243"/>
      <c r="AF5" s="2243"/>
      <c r="AG5" s="2243"/>
      <c r="AH5" s="2243"/>
      <c r="AI5" s="2243"/>
      <c r="AJ5" s="2243"/>
      <c r="AK5" s="2243"/>
      <c r="AL5" s="2244"/>
      <c r="AM5" s="1258" t="s">
        <v>404</v>
      </c>
      <c r="AO5" s="500"/>
      <c r="AP5" s="500" t="str">
        <f>IF(T5="","",T5)</f>
        <v>Источник тепловой энергии  </v>
      </c>
      <c r="AQ5" s="500"/>
      <c r="AR5" s="500"/>
      <c r="AS5" s="1155">
        <v>0</v>
      </c>
    </row>
    <row customHeight="1" ht="47.25" hidden="1">
      <c r="A6" s="1363"/>
      <c r="B6" s="1363"/>
      <c r="C6" s="1363"/>
      <c r="D6" s="1363"/>
      <c r="E6" s="2259"/>
      <c r="F6" s="2259"/>
      <c r="G6" s="2259"/>
      <c r="H6" s="2259"/>
      <c r="I6" s="2256">
        <f>S5&amp;".1"</f>
      </c>
      <c r="J6" s="1363"/>
      <c r="K6" s="1363"/>
      <c r="L6" s="1364" t="s">
        <v>405</v>
      </c>
      <c r="M6" s="537"/>
      <c r="P6" s="2257">
        <v>1</v>
      </c>
      <c r="Q6" s="1331"/>
      <c r="R6" s="356"/>
      <c r="S6" s="1336">
        <f>$I6</f>
      </c>
      <c r="T6" s="285" t="s">
        <v>406</v>
      </c>
      <c r="U6" s="300"/>
      <c r="V6" s="2245"/>
      <c r="W6" s="2246"/>
      <c r="X6" s="2246"/>
      <c r="Y6" s="2246"/>
      <c r="Z6" s="2246"/>
      <c r="AA6" s="2246"/>
      <c r="AB6" s="2246"/>
      <c r="AC6" s="2247"/>
      <c r="AD6" s="2245"/>
      <c r="AE6" s="2246"/>
      <c r="AF6" s="2246"/>
      <c r="AG6" s="2246"/>
      <c r="AH6" s="2246"/>
      <c r="AI6" s="2246"/>
      <c r="AJ6" s="2246"/>
      <c r="AK6" s="2246"/>
      <c r="AL6" s="2247"/>
      <c r="AM6" s="1258" t="s">
        <v>407</v>
      </c>
      <c r="AO6" s="500"/>
      <c r="AP6" s="500" t="str">
        <f>IF(T6="","",T6)</f>
        <v>Схема подключения теплопотребляющей установки к коллектору источника тепловой энергии</v>
      </c>
      <c r="AQ6" s="500"/>
      <c r="AR6" s="500"/>
      <c r="AS6" s="1155">
        <v>0</v>
      </c>
    </row>
    <row customHeight="1" ht="21" hidden="1">
      <c r="A7" s="1363"/>
      <c r="B7" s="1363"/>
      <c r="C7" s="1363"/>
      <c r="D7" s="1363"/>
      <c r="E7" s="2259"/>
      <c r="F7" s="2259"/>
      <c r="G7" s="2259"/>
      <c r="H7" s="2259"/>
      <c r="I7" s="2286"/>
      <c r="J7" s="2256">
        <f>I6&amp;".1"</f>
      </c>
      <c r="K7" s="1363"/>
      <c r="L7" s="1364" t="s">
        <v>408</v>
      </c>
      <c r="M7" s="537"/>
      <c r="N7" s="1366"/>
      <c r="P7" s="2257"/>
      <c r="Q7" s="2257">
        <v>1</v>
      </c>
      <c r="R7" s="357"/>
      <c r="S7" s="1336">
        <f>$J7</f>
      </c>
      <c r="T7" s="286" t="s">
        <v>409</v>
      </c>
      <c r="U7" s="300"/>
      <c r="V7" s="2245"/>
      <c r="W7" s="2246"/>
      <c r="X7" s="2246"/>
      <c r="Y7" s="2246"/>
      <c r="Z7" s="2246"/>
      <c r="AA7" s="2246"/>
      <c r="AB7" s="2246"/>
      <c r="AC7" s="2247"/>
      <c r="AD7" s="2245"/>
      <c r="AE7" s="2246"/>
      <c r="AF7" s="2246"/>
      <c r="AG7" s="2246"/>
      <c r="AH7" s="2246"/>
      <c r="AI7" s="2246"/>
      <c r="AJ7" s="2246"/>
      <c r="AK7" s="2246"/>
      <c r="AL7" s="2247"/>
      <c r="AM7" s="1258" t="s">
        <v>410</v>
      </c>
      <c r="AO7" s="500"/>
      <c r="AP7" s="500" t="str">
        <f>IF(T7="","",T7)</f>
        <v>Группа потребителей</v>
      </c>
      <c r="AQ7" s="500"/>
      <c r="AR7" s="500"/>
      <c r="AS7" s="1155">
        <v>0</v>
      </c>
    </row>
    <row customHeight="1" ht="21" hidden="1">
      <c r="A8" s="1363"/>
      <c r="B8" s="1363"/>
      <c r="C8" s="1363"/>
      <c r="D8" s="1363"/>
      <c r="E8" s="2259"/>
      <c r="F8" s="2259"/>
      <c r="G8" s="2259"/>
      <c r="H8" s="2259"/>
      <c r="I8" s="2286"/>
      <c r="J8" s="2286"/>
      <c r="K8" s="2256">
        <f>J7&amp;".1"</f>
      </c>
      <c r="L8" s="1364" t="s">
        <v>411</v>
      </c>
      <c r="M8" s="537"/>
      <c r="N8" s="1366"/>
      <c r="O8" s="1366"/>
      <c r="P8" s="2257"/>
      <c r="Q8" s="2257"/>
      <c r="R8" s="357">
        <v>1</v>
      </c>
      <c r="S8" s="1336">
        <f>$K8</f>
      </c>
      <c r="T8" s="1347"/>
      <c r="U8" s="300"/>
      <c r="V8" s="751"/>
      <c r="W8" s="325"/>
      <c r="X8" s="751"/>
      <c r="Y8" s="1257"/>
      <c r="Z8" s="2265"/>
      <c r="AA8" s="2107" t="s">
        <v>66</v>
      </c>
      <c r="AB8" s="2265"/>
      <c r="AC8" s="2107" t="s">
        <v>66</v>
      </c>
      <c r="AD8" s="751"/>
      <c r="AE8" s="325"/>
      <c r="AF8" s="751"/>
      <c r="AG8" s="1257"/>
      <c r="AH8" s="2265"/>
      <c r="AI8" s="2107" t="s">
        <v>66</v>
      </c>
      <c r="AJ8" s="2265"/>
      <c r="AK8" s="2107" t="s">
        <v>66</v>
      </c>
      <c r="AL8" s="325"/>
      <c r="AM8" s="2253" t="s">
        <v>412</v>
      </c>
      <c r="AN8" s="511">
        <f>STRCHECKDATE(V9:AL9)</f>
      </c>
      <c r="AO8" s="500"/>
      <c r="AP8" s="500" t="str">
        <f>IF(T8="","",T8)</f>
        <v/>
      </c>
      <c r="AQ8" s="500"/>
      <c r="AR8" s="500"/>
      <c r="AS8" s="1155">
        <v>0</v>
      </c>
    </row>
    <row customHeight="1" ht="0.75" hidden="1">
      <c r="A9" s="1363"/>
      <c r="B9" s="1363"/>
      <c r="C9" s="1363"/>
      <c r="D9" s="1363"/>
      <c r="E9" s="2259"/>
      <c r="F9" s="2259"/>
      <c r="G9" s="2259"/>
      <c r="H9" s="2259"/>
      <c r="I9" s="2286"/>
      <c r="J9" s="2286"/>
      <c r="K9" s="2256"/>
      <c r="L9" s="1364"/>
      <c r="M9" s="537"/>
      <c r="N9" s="1366"/>
      <c r="O9" s="1366"/>
      <c r="P9" s="2257"/>
      <c r="Q9" s="2257"/>
      <c r="R9" s="357"/>
      <c r="S9" s="1342"/>
      <c r="T9" s="300"/>
      <c r="U9" s="300"/>
      <c r="V9" s="325"/>
      <c r="W9" s="325"/>
      <c r="X9" s="325"/>
      <c r="Y9" s="328" t="str">
        <f>Z8&amp;"-"&amp;AB8</f>
        <v>-</v>
      </c>
      <c r="Z9" s="2266"/>
      <c r="AA9" s="2107"/>
      <c r="AB9" s="2266"/>
      <c r="AC9" s="2107"/>
      <c r="AD9" s="325"/>
      <c r="AE9" s="325"/>
      <c r="AF9" s="325"/>
      <c r="AG9" s="328" t="str">
        <f>AH8&amp;"-"&amp;AJ8</f>
        <v>-</v>
      </c>
      <c r="AH9" s="2266"/>
      <c r="AI9" s="2107"/>
      <c r="AJ9" s="2266"/>
      <c r="AK9" s="2107"/>
      <c r="AL9" s="325"/>
      <c r="AM9" s="2254"/>
      <c r="AO9" s="500"/>
      <c r="AP9" s="500" t="str">
        <f>IF(T9="","",T9)</f>
        <v/>
      </c>
      <c r="AQ9" s="500"/>
      <c r="AR9" s="500"/>
      <c r="AS9" s="1155">
        <v>0</v>
      </c>
    </row>
    <row customHeight="1" ht="15" hidden="1">
      <c r="A10" s="1363"/>
      <c r="B10" s="1363"/>
      <c r="C10" s="1363"/>
      <c r="D10" s="1363"/>
      <c r="E10" s="2259"/>
      <c r="F10" s="2259"/>
      <c r="G10" s="2259"/>
      <c r="H10" s="2259"/>
      <c r="I10" s="2286"/>
      <c r="J10" s="2256"/>
      <c r="K10" s="1363"/>
      <c r="L10" s="1364"/>
      <c r="M10" s="537"/>
      <c r="N10" s="1366"/>
      <c r="P10" s="2257"/>
      <c r="Q10" s="2257"/>
      <c r="R10" s="356"/>
      <c r="S10" s="1278"/>
      <c r="T10" s="288" t="s">
        <v>413</v>
      </c>
      <c r="U10" s="367"/>
      <c r="V10" s="367"/>
      <c r="W10" s="367"/>
      <c r="X10" s="367"/>
      <c r="Y10" s="367"/>
      <c r="Z10" s="367"/>
      <c r="AA10" s="367"/>
      <c r="AB10" s="367"/>
      <c r="AC10" s="367"/>
      <c r="AD10" s="367"/>
      <c r="AE10" s="367"/>
      <c r="AF10" s="367"/>
      <c r="AG10" s="367"/>
      <c r="AH10" s="367"/>
      <c r="AI10" s="367"/>
      <c r="AJ10" s="367"/>
      <c r="AK10" s="367"/>
      <c r="AL10" s="324"/>
      <c r="AM10" s="2255"/>
      <c r="AO10" s="500"/>
      <c r="AP10" s="500" t="str">
        <f>IF(T10="","",T10)</f>
        <v>Добавить вид теплоносителя (параметры теплоносителя)</v>
      </c>
      <c r="AQ10" s="500"/>
      <c r="AR10" s="500"/>
      <c r="AS10" s="1155">
        <v>0</v>
      </c>
    </row>
    <row customHeight="1" ht="15" hidden="1">
      <c r="A11" s="1363"/>
      <c r="B11" s="1363"/>
      <c r="C11" s="1363"/>
      <c r="D11" s="1363"/>
      <c r="E11" s="2259"/>
      <c r="F11" s="2259"/>
      <c r="G11" s="2259"/>
      <c r="H11" s="2259"/>
      <c r="I11" s="2256"/>
      <c r="J11" s="1363"/>
      <c r="K11" s="1363"/>
      <c r="L11" s="1364"/>
      <c r="M11" s="537"/>
      <c r="P11" s="2257"/>
      <c r="Q11" s="1331"/>
      <c r="R11" s="356"/>
      <c r="S11" s="1278"/>
      <c r="T11" s="287" t="s">
        <v>414</v>
      </c>
      <c r="U11" s="367"/>
      <c r="V11" s="367"/>
      <c r="W11" s="367"/>
      <c r="X11" s="367"/>
      <c r="Y11" s="367"/>
      <c r="Z11" s="367"/>
      <c r="AA11" s="367"/>
      <c r="AB11" s="367"/>
      <c r="AC11" s="366"/>
      <c r="AD11" s="367"/>
      <c r="AE11" s="367"/>
      <c r="AF11" s="367"/>
      <c r="AG11" s="367"/>
      <c r="AH11" s="367"/>
      <c r="AI11" s="367"/>
      <c r="AJ11" s="367"/>
      <c r="AK11" s="366"/>
      <c r="AL11" s="367"/>
      <c r="AM11" s="303"/>
      <c r="AO11" s="500"/>
      <c r="AP11" s="500" t="str">
        <f>IF(T11="","",T11)</f>
        <v>Добавить группу потребителей</v>
      </c>
      <c r="AQ11" s="500"/>
      <c r="AR11" s="500"/>
      <c r="AS11" s="1155">
        <v>0</v>
      </c>
    </row>
    <row customHeight="1" ht="14.25" hidden="1">
      <c r="A12" s="1363"/>
      <c r="B12" s="1363"/>
      <c r="C12" s="1363"/>
      <c r="D12" s="1363"/>
      <c r="E12" s="2259"/>
      <c r="F12" s="2259"/>
      <c r="G12" s="2259"/>
      <c r="H12" s="2258"/>
      <c r="I12" s="1363"/>
      <c r="J12" s="1363"/>
      <c r="K12" s="1363"/>
      <c r="L12" s="1364"/>
      <c r="M12" s="1365"/>
      <c r="N12" s="1365"/>
      <c r="O12" s="537"/>
      <c r="P12" s="360"/>
      <c r="Q12" s="375"/>
      <c r="R12" s="355"/>
      <c r="S12" s="1278"/>
      <c r="T12" s="365" t="s">
        <v>415</v>
      </c>
      <c r="U12" s="367"/>
      <c r="V12" s="367"/>
      <c r="W12" s="367"/>
      <c r="X12" s="367"/>
      <c r="Y12" s="367"/>
      <c r="Z12" s="367"/>
      <c r="AA12" s="367"/>
      <c r="AB12" s="367"/>
      <c r="AC12" s="366"/>
      <c r="AD12" s="367"/>
      <c r="AE12" s="367"/>
      <c r="AF12" s="367"/>
      <c r="AG12" s="367"/>
      <c r="AH12" s="367"/>
      <c r="AI12" s="367"/>
      <c r="AJ12" s="367"/>
      <c r="AK12" s="366"/>
      <c r="AL12" s="367"/>
      <c r="AM12" s="303"/>
      <c r="AO12" s="500"/>
      <c r="AP12" s="500" t="str">
        <f>IF(T12="","",T12)</f>
        <v>Добавить схему подключения</v>
      </c>
      <c r="AQ12" s="500"/>
      <c r="AR12" s="500"/>
      <c r="AS12" s="1155">
        <v>0</v>
      </c>
    </row>
    <row s="1642" customFormat="1" customHeight="1" ht="0.75" hidden="1">
      <c r="A13" s="1314"/>
      <c r="B13" s="1314"/>
      <c r="C13" s="1314"/>
      <c r="D13" s="1314"/>
      <c r="E13" s="2259"/>
      <c r="F13" s="2259"/>
      <c r="G13" s="2258"/>
      <c r="H13" s="1314"/>
      <c r="I13" s="1314"/>
      <c r="J13" s="1314"/>
      <c r="K13" s="1314"/>
      <c r="L13" s="1339"/>
      <c r="M13" s="1315"/>
      <c r="N13" s="1315"/>
      <c r="P13" s="1316"/>
      <c r="Q13" s="1317"/>
      <c r="R13" s="1316"/>
      <c r="S13" s="1318"/>
      <c r="T13" s="1319" t="s">
        <v>416</v>
      </c>
      <c r="U13" s="1320"/>
      <c r="V13" s="1320"/>
      <c r="W13" s="1320"/>
      <c r="X13" s="1320"/>
      <c r="Y13" s="1320"/>
      <c r="Z13" s="1320"/>
      <c r="AA13" s="1320"/>
      <c r="AB13" s="1320"/>
      <c r="AC13" s="1320"/>
      <c r="AD13" s="1320"/>
      <c r="AE13" s="1320"/>
      <c r="AF13" s="1320"/>
      <c r="AG13" s="1320"/>
      <c r="AH13" s="1320"/>
      <c r="AI13" s="1320"/>
      <c r="AJ13" s="1320"/>
      <c r="AK13" s="1320"/>
      <c r="AL13" s="1320"/>
      <c r="AM13" s="1320"/>
      <c r="AO13" s="789"/>
      <c r="AP13" s="789" t="str">
        <f>IF(T13="","",T13)</f>
        <v>Добавить источник для дифференциации</v>
      </c>
      <c r="AQ13" s="789"/>
      <c r="AR13" s="789"/>
      <c r="AS13" s="518">
        <v>0</v>
      </c>
    </row>
    <row s="1642" customFormat="1" customHeight="1" ht="0.75" hidden="1">
      <c r="A14" s="1314"/>
      <c r="B14" s="1314"/>
      <c r="C14" s="1314"/>
      <c r="D14" s="1314"/>
      <c r="E14" s="2259"/>
      <c r="F14" s="2258"/>
      <c r="G14" s="1314"/>
      <c r="H14" s="1314"/>
      <c r="I14" s="1314"/>
      <c r="J14" s="1314"/>
      <c r="K14" s="1314"/>
      <c r="L14" s="1339"/>
      <c r="M14" s="1321"/>
      <c r="N14" s="1321"/>
      <c r="P14" s="1316"/>
      <c r="Q14" s="1317"/>
      <c r="R14" s="1316"/>
      <c r="S14" s="1322"/>
      <c r="T14" s="1323" t="s">
        <v>417</v>
      </c>
      <c r="U14" s="1324"/>
      <c r="V14" s="1324"/>
      <c r="W14" s="1324"/>
      <c r="X14" s="1324"/>
      <c r="Y14" s="1324"/>
      <c r="Z14" s="1324"/>
      <c r="AA14" s="1324"/>
      <c r="AB14" s="1324"/>
      <c r="AC14" s="1324"/>
      <c r="AD14" s="1324"/>
      <c r="AE14" s="1324"/>
      <c r="AF14" s="1324"/>
      <c r="AG14" s="1324"/>
      <c r="AH14" s="1324"/>
      <c r="AI14" s="1324"/>
      <c r="AJ14" s="1324"/>
      <c r="AK14" s="1324"/>
      <c r="AL14" s="1324"/>
      <c r="AM14" s="1324"/>
      <c r="AO14" s="789"/>
      <c r="AP14" s="789" t="str">
        <f>IF(T14="","",T14)</f>
        <v>Добавить централизованную систему для дифференциации</v>
      </c>
      <c r="AQ14" s="789"/>
      <c r="AR14" s="789"/>
      <c r="AS14" s="518">
        <v>0</v>
      </c>
    </row>
    <row s="1642" customFormat="1" customHeight="1" ht="0.75" hidden="1">
      <c r="A15" s="1314"/>
      <c r="B15" s="1314"/>
      <c r="C15" s="1314"/>
      <c r="D15" s="1314"/>
      <c r="E15" s="2258"/>
      <c r="F15" s="1314"/>
      <c r="G15" s="1314"/>
      <c r="H15" s="1314"/>
      <c r="I15" s="1314"/>
      <c r="J15" s="1314"/>
      <c r="K15" s="1314"/>
      <c r="L15" s="1339"/>
      <c r="M15" s="1321"/>
      <c r="N15" s="1321"/>
      <c r="P15" s="1316"/>
      <c r="Q15" s="1317"/>
      <c r="R15" s="1316"/>
      <c r="S15" s="1322"/>
      <c r="T15" s="1325" t="s">
        <v>418</v>
      </c>
      <c r="U15" s="1324"/>
      <c r="V15" s="1324"/>
      <c r="W15" s="1324"/>
      <c r="X15" s="1324"/>
      <c r="Y15" s="1324"/>
      <c r="Z15" s="1324"/>
      <c r="AA15" s="1324"/>
      <c r="AB15" s="1324"/>
      <c r="AC15" s="1324"/>
      <c r="AD15" s="1324"/>
      <c r="AE15" s="1324"/>
      <c r="AF15" s="1324"/>
      <c r="AG15" s="1324"/>
      <c r="AH15" s="1324"/>
      <c r="AI15" s="1324"/>
      <c r="AJ15" s="1324"/>
      <c r="AK15" s="1324"/>
      <c r="AL15" s="1324"/>
      <c r="AM15" s="1324"/>
      <c r="AO15" s="789"/>
      <c r="AP15" s="789" t="str">
        <f>IF(T15="","",T15)</f>
        <v>Добавить территорию для дифференциации</v>
      </c>
      <c r="AQ15" s="789"/>
      <c r="AR15" s="789"/>
      <c r="AS15" s="518">
        <v>0</v>
      </c>
    </row>
    <row customHeight="1" ht="14.25" hidden="1">
      <c r="AC16" s="327"/>
      <c r="AK16" s="327"/>
      <c r="AS16" s="1155">
        <v>0</v>
      </c>
    </row>
    <row customHeight="1" ht="14.25" hidden="1">
      <c r="AD17" s="1360"/>
      <c r="AE17" s="1360"/>
      <c r="AF17" s="1360"/>
      <c r="AG17" s="1361"/>
      <c r="AH17" s="2267"/>
      <c r="AI17" s="2268" t="s">
        <v>66</v>
      </c>
      <c r="AJ17" s="2267"/>
      <c r="AK17" s="2268" t="s">
        <v>66</v>
      </c>
      <c r="AS17" s="1155">
        <v>0</v>
      </c>
    </row>
    <row customHeight="1" ht="14.25" hidden="1">
      <c r="AD18" s="1360"/>
      <c r="AE18" s="1360"/>
      <c r="AF18" s="1360"/>
      <c r="AG18" s="328" t="str">
        <f>AH17&amp;"-"&amp;AJ17</f>
        <v>-</v>
      </c>
      <c r="AH18" s="2268"/>
      <c r="AI18" s="2268"/>
      <c r="AJ18" s="2268"/>
      <c r="AK18" s="2268"/>
      <c r="AS18" s="1155">
        <v>0</v>
      </c>
    </row>
    <row customHeight="1" ht="14.25" hidden="1">
      <c r="AK19" s="327"/>
      <c r="AS19" s="1155">
        <v>0</v>
      </c>
    </row>
    <row s="1366" customFormat="1" customHeight="1" ht="22.5" hidden="1">
      <c r="L20" s="1329"/>
      <c r="M20" s="1362"/>
      <c r="N20" s="1362"/>
      <c r="O20" s="1367" t="s">
        <v>419</v>
      </c>
      <c r="P20" s="1362"/>
      <c r="Q20" s="1371"/>
      <c r="R20" s="1371"/>
      <c r="S20" s="729"/>
      <c r="Z20" s="1367"/>
      <c r="AB20" s="1367"/>
      <c r="AC20" s="1366"/>
      <c r="AH20" s="1367"/>
      <c r="AJ20" s="1367"/>
      <c r="AK20" s="1366"/>
      <c r="AN20" s="511"/>
      <c r="AO20" s="511"/>
      <c r="AP20" s="511"/>
      <c r="AQ20" s="511"/>
      <c r="AR20" s="511"/>
      <c r="AS20" s="1160">
        <v>0</v>
      </c>
    </row>
    <row s="1366" customFormat="1" customHeight="1" ht="14.25" hidden="1">
      <c r="L21" s="1329"/>
      <c r="M21" s="1362"/>
      <c r="N21" s="1362"/>
      <c r="O21" s="1362"/>
      <c r="P21" s="1362"/>
      <c r="Q21" s="1371"/>
      <c r="R21" s="1371"/>
      <c r="S21" s="729"/>
      <c r="AC21" s="1366"/>
      <c r="AK21" s="1366"/>
      <c r="AN21" s="511"/>
      <c r="AO21" s="511"/>
      <c r="AP21" s="511"/>
      <c r="AQ21" s="511"/>
      <c r="AR21" s="511"/>
      <c r="AS21" s="1160">
        <v>0</v>
      </c>
    </row>
    <row s="1366" customFormat="1" customHeight="1" ht="14.25" hidden="1">
      <c r="L22" s="1329"/>
      <c r="M22" s="1362"/>
      <c r="N22" s="1362"/>
      <c r="O22" s="1364" t="s">
        <v>420</v>
      </c>
      <c r="P22" s="1362"/>
      <c r="Q22" s="1371"/>
      <c r="R22" s="1371"/>
      <c r="S22" s="729"/>
      <c r="T22" s="1160" t="s">
        <v>421</v>
      </c>
      <c r="AA22" s="186" t="s">
        <v>422</v>
      </c>
      <c r="AC22" s="186" t="s">
        <v>423</v>
      </c>
      <c r="AD22" s="1160" t="s">
        <v>421</v>
      </c>
      <c r="AI22" s="186" t="s">
        <v>424</v>
      </c>
      <c r="AK22" s="186" t="s">
        <v>423</v>
      </c>
      <c r="AN22" s="511"/>
      <c r="AO22" s="511"/>
      <c r="AP22" s="511"/>
      <c r="AQ22" s="511"/>
      <c r="AR22" s="511"/>
      <c r="AS22" s="1160">
        <v>0</v>
      </c>
    </row>
    <row customHeight="1" ht="14.25" hidden="1">
      <c r="O23" s="1364"/>
      <c r="AS23" s="1155">
        <v>0</v>
      </c>
    </row>
    <row customHeight="1" ht="14.25" hidden="1">
      <c r="O24" s="1364"/>
      <c r="AS24" s="1155">
        <v>0</v>
      </c>
    </row>
    <row customHeight="1" ht="14.699999999999998">
      <c r="Q25" s="376"/>
      <c r="R25" s="376"/>
      <c r="S25" s="1275"/>
      <c r="T25" s="363"/>
      <c r="U25" s="363"/>
      <c r="V25" s="509"/>
      <c r="W25" s="509"/>
      <c r="X25" s="509"/>
      <c r="Y25" s="509"/>
      <c r="Z25" s="509"/>
      <c r="AA25" s="509"/>
      <c r="AB25" s="509"/>
      <c r="AC25" s="509"/>
      <c r="AD25" s="509"/>
      <c r="AE25" s="509"/>
      <c r="AF25" s="509"/>
      <c r="AG25" s="509"/>
      <c r="AH25" s="509"/>
      <c r="AI25" s="509"/>
      <c r="AJ25" s="509"/>
      <c r="AK25" s="509"/>
      <c r="AS25" s="1155">
        <v>14</v>
      </c>
    </row>
    <row customHeight="1" ht="14.699999999999998">
      <c r="Q26" s="376"/>
      <c r="R26" s="376"/>
      <c r="S26" s="2248"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248"/>
      <c r="U26" s="2248"/>
      <c r="V26" s="2248"/>
      <c r="W26" s="2248"/>
      <c r="X26" s="2248"/>
      <c r="Y26" s="2248"/>
      <c r="Z26" s="2248"/>
      <c r="AA26" s="2248"/>
      <c r="AB26" s="2248"/>
      <c r="AC26" s="2248"/>
      <c r="AD26" s="2248"/>
      <c r="AE26" s="2248"/>
      <c r="AF26" s="2248"/>
      <c r="AG26" s="2248"/>
      <c r="AH26" s="2248"/>
      <c r="AI26" s="2248"/>
      <c r="AJ26" s="2248"/>
      <c r="AK26" s="1243"/>
      <c r="AS26" s="1155">
        <v>14</v>
      </c>
    </row>
    <row customHeight="1" ht="14.699999999999998">
      <c r="Q27" s="376"/>
      <c r="R27" s="376"/>
      <c r="S27" s="2249" t="str">
        <f>IF(org=0,"Не определено",org)</f>
        <v>ПАО "ОГК-2"</v>
      </c>
      <c r="T27" s="2249"/>
      <c r="U27" s="2249"/>
      <c r="V27" s="2249"/>
      <c r="W27" s="2249"/>
      <c r="X27" s="2249"/>
      <c r="Y27" s="2249"/>
      <c r="Z27" s="2249"/>
      <c r="AA27" s="2249"/>
      <c r="AB27" s="2249"/>
      <c r="AC27" s="2249"/>
      <c r="AD27" s="2249"/>
      <c r="AE27" s="2249"/>
      <c r="AF27" s="2249"/>
      <c r="AG27" s="2249"/>
      <c r="AH27" s="2249"/>
      <c r="AI27" s="2249"/>
      <c r="AJ27" s="2249"/>
      <c r="AK27" s="1243"/>
      <c r="AS27" s="1155">
        <v>14</v>
      </c>
    </row>
    <row customHeight="1" ht="14.25" hidden="1">
      <c r="Q28" s="376"/>
      <c r="R28" s="376"/>
      <c r="S28" s="1275"/>
      <c r="T28" s="363"/>
      <c r="U28" s="363"/>
      <c r="V28" s="322"/>
      <c r="W28" s="322"/>
      <c r="X28" s="322"/>
      <c r="Y28" s="322"/>
      <c r="Z28" s="322"/>
      <c r="AA28" s="322"/>
      <c r="AB28" s="322"/>
      <c r="AC28" s="322"/>
      <c r="AD28" s="322"/>
      <c r="AE28" s="322"/>
      <c r="AF28" s="322"/>
      <c r="AG28" s="322"/>
      <c r="AH28" s="322"/>
      <c r="AI28" s="322"/>
      <c r="AJ28" s="322"/>
      <c r="AK28" s="322"/>
      <c r="AL28" s="509"/>
      <c r="AS28" s="1155">
        <v>0</v>
      </c>
    </row>
    <row s="1853" customFormat="1" customHeight="1" ht="25.5" hidden="1">
      <c r="A29" s="1368"/>
      <c r="B29" s="1368"/>
      <c r="C29" s="1368"/>
      <c r="D29" s="1368"/>
      <c r="E29" s="1368"/>
      <c r="F29" s="1368"/>
      <c r="G29" s="1368"/>
      <c r="H29" s="1368"/>
      <c r="I29" s="1368"/>
      <c r="J29" s="1368"/>
      <c r="K29" s="1368"/>
      <c r="L29" s="1369"/>
      <c r="M29" s="1368"/>
      <c r="N29" s="1368"/>
      <c r="O29" s="1368"/>
      <c r="S29" s="2250" t="s">
        <v>42</v>
      </c>
      <c r="T29" s="2250"/>
      <c r="U29" s="1372"/>
      <c r="V29" s="2251" t="str">
        <f>IF(TITLE_NAME_OR_PR_CHANGE="",IF(TITLE_NAME_OR_PR="","",TITLE_NAME_OR_PR),TITLE_NAME_OR_PR_CHANGE)</f>
        <v/>
      </c>
      <c r="W29" s="2251"/>
      <c r="X29" s="2251"/>
      <c r="Y29" s="2251"/>
      <c r="Z29" s="2251"/>
      <c r="AA29" s="2251"/>
      <c r="AB29" s="2251"/>
      <c r="AC29" s="326"/>
      <c r="AD29" s="2251" t="str">
        <f>IF(TITLE_NAME_OR_PR_CHANGE="",IF(TITLE_NAME_OR_PR="","",TITLE_NAME_OR_PR),TITLE_NAME_OR_PR_CHANGE)</f>
        <v/>
      </c>
      <c r="AE29" s="2251"/>
      <c r="AF29" s="2251"/>
      <c r="AG29" s="2251"/>
      <c r="AH29" s="2251"/>
      <c r="AI29" s="2251"/>
      <c r="AJ29" s="2251"/>
      <c r="AK29" s="326"/>
      <c r="AL29" s="326"/>
      <c r="AM29" s="280"/>
      <c r="AN29" s="368"/>
      <c r="AO29" s="368"/>
      <c r="AP29" s="368"/>
      <c r="AQ29" s="368"/>
      <c r="AR29" s="368"/>
      <c r="AS29" s="418">
        <v>0</v>
      </c>
    </row>
    <row s="1853" customFormat="1" customHeight="1" ht="18.75" hidden="1">
      <c r="A30" s="1368"/>
      <c r="B30" s="1368"/>
      <c r="C30" s="1368"/>
      <c r="D30" s="1368"/>
      <c r="E30" s="1368"/>
      <c r="F30" s="1368"/>
      <c r="G30" s="1368"/>
      <c r="H30" s="1368"/>
      <c r="I30" s="1368"/>
      <c r="J30" s="1368"/>
      <c r="K30" s="1368"/>
      <c r="L30" s="1369"/>
      <c r="M30" s="1368"/>
      <c r="N30" s="1368"/>
      <c r="O30" s="1368"/>
      <c r="S30" s="2250" t="s">
        <v>425</v>
      </c>
      <c r="T30" s="2250"/>
      <c r="U30" s="1372"/>
      <c r="V30" s="2264" t="str">
        <f>IF(TITLE_DATE_PR_CHANGE="",IF(TITLE_DATE_PR="","",TITLE_DATE_PR),TITLE_DATE_PR_CHANGE)</f>
        <v/>
      </c>
      <c r="W30" s="2264"/>
      <c r="X30" s="2264"/>
      <c r="Y30" s="2264"/>
      <c r="Z30" s="2264"/>
      <c r="AA30" s="2264"/>
      <c r="AB30" s="2264"/>
      <c r="AC30" s="326"/>
      <c r="AD30" s="2264" t="str">
        <f>IF(TITLE_DATE_PR_CHANGE="",IF(TITLE_DATE_PR="","",TITLE_DATE_PR),TITLE_DATE_PR_CHANGE)</f>
        <v/>
      </c>
      <c r="AE30" s="2264"/>
      <c r="AF30" s="2264"/>
      <c r="AG30" s="2264"/>
      <c r="AH30" s="2264"/>
      <c r="AI30" s="2264"/>
      <c r="AJ30" s="2264"/>
      <c r="AK30" s="326"/>
      <c r="AL30" s="326"/>
      <c r="AM30" s="280"/>
      <c r="AN30" s="368"/>
      <c r="AO30" s="368"/>
      <c r="AP30" s="368"/>
      <c r="AQ30" s="368"/>
      <c r="AR30" s="368"/>
      <c r="AS30" s="418">
        <v>0</v>
      </c>
    </row>
    <row s="1853" customFormat="1" customHeight="1" ht="18.75" hidden="1">
      <c r="A31" s="1368"/>
      <c r="B31" s="1368"/>
      <c r="C31" s="1368"/>
      <c r="D31" s="1368"/>
      <c r="E31" s="1368"/>
      <c r="F31" s="1368"/>
      <c r="G31" s="1368"/>
      <c r="H31" s="1368"/>
      <c r="I31" s="1368"/>
      <c r="J31" s="1368"/>
      <c r="K31" s="1368"/>
      <c r="L31" s="1369"/>
      <c r="M31" s="1368"/>
      <c r="N31" s="1368"/>
      <c r="O31" s="1368"/>
      <c r="S31" s="2250" t="s">
        <v>426</v>
      </c>
      <c r="T31" s="2250"/>
      <c r="U31" s="1372"/>
      <c r="V31" s="2251" t="str">
        <f>IF(TITLE_NUMBER_PR_CHANGE="",IF(TITLE_NUMBER_PR="","",TITLE_NUMBER_PR),TITLE_NUMBER_PR_CHANGE)</f>
        <v/>
      </c>
      <c r="W31" s="2251"/>
      <c r="X31" s="2251"/>
      <c r="Y31" s="2251"/>
      <c r="Z31" s="2251"/>
      <c r="AA31" s="2251"/>
      <c r="AB31" s="2251"/>
      <c r="AC31" s="326"/>
      <c r="AD31" s="2251" t="str">
        <f>IF(TITLE_NUMBER_PR_CHANGE="",IF(TITLE_NUMBER_PR="","",TITLE_NUMBER_PR),TITLE_NUMBER_PR_CHANGE)</f>
        <v/>
      </c>
      <c r="AE31" s="2251"/>
      <c r="AF31" s="2251"/>
      <c r="AG31" s="2251"/>
      <c r="AH31" s="2251"/>
      <c r="AI31" s="2251"/>
      <c r="AJ31" s="2251"/>
      <c r="AK31" s="326"/>
      <c r="AL31" s="326"/>
      <c r="AM31" s="280"/>
      <c r="AN31" s="368"/>
      <c r="AO31" s="368"/>
      <c r="AP31" s="368"/>
      <c r="AQ31" s="368"/>
      <c r="AR31" s="368"/>
      <c r="AS31" s="418">
        <v>0</v>
      </c>
    </row>
    <row s="1853" customFormat="1" customHeight="1" ht="18.75" hidden="1">
      <c r="A32" s="1368"/>
      <c r="B32" s="1368"/>
      <c r="C32" s="1368"/>
      <c r="D32" s="1368"/>
      <c r="E32" s="1368"/>
      <c r="F32" s="1368"/>
      <c r="G32" s="1368"/>
      <c r="H32" s="1368"/>
      <c r="I32" s="1368"/>
      <c r="J32" s="1368"/>
      <c r="K32" s="1368"/>
      <c r="L32" s="1369"/>
      <c r="M32" s="1368"/>
      <c r="N32" s="1368"/>
      <c r="O32" s="1368"/>
      <c r="S32" s="2250" t="s">
        <v>43</v>
      </c>
      <c r="T32" s="2250"/>
      <c r="U32" s="1372"/>
      <c r="V32" s="2251" t="str">
        <f>IF(TITLE_IST_PUB_CHANGE="",IF(TITLE_IST_PUB="","",TITLE_IST_PUB),TITLE_IST_PUB_CHANGE)</f>
        <v/>
      </c>
      <c r="W32" s="2251"/>
      <c r="X32" s="2251"/>
      <c r="Y32" s="2251"/>
      <c r="Z32" s="2251"/>
      <c r="AA32" s="2251"/>
      <c r="AB32" s="2251"/>
      <c r="AC32" s="326"/>
      <c r="AD32" s="2251" t="str">
        <f>IF(TITLE_IST_PUB_CHANGE="",IF(TITLE_IST_PUB="","",TITLE_IST_PUB),TITLE_IST_PUB_CHANGE)</f>
        <v/>
      </c>
      <c r="AE32" s="2251"/>
      <c r="AF32" s="2251"/>
      <c r="AG32" s="2251"/>
      <c r="AH32" s="2251"/>
      <c r="AI32" s="2251"/>
      <c r="AJ32" s="2251"/>
      <c r="AK32" s="326"/>
      <c r="AL32" s="326"/>
      <c r="AM32" s="280"/>
      <c r="AN32" s="368"/>
      <c r="AO32" s="368"/>
      <c r="AP32" s="368"/>
      <c r="AQ32" s="368"/>
      <c r="AR32" s="368"/>
      <c r="AS32" s="418">
        <v>0</v>
      </c>
    </row>
    <row customHeight="1" ht="14.25" hidden="1">
      <c r="Q33" s="376"/>
      <c r="R33" s="376"/>
      <c r="S33" s="1275"/>
      <c r="T33" s="363"/>
      <c r="U33" s="363"/>
      <c r="V33" s="322"/>
      <c r="W33" s="322"/>
      <c r="X33" s="322"/>
      <c r="Y33" s="322"/>
      <c r="Z33" s="322"/>
      <c r="AA33" s="322"/>
      <c r="AB33" s="322"/>
      <c r="AC33" s="322"/>
      <c r="AD33" s="322"/>
      <c r="AE33" s="322"/>
      <c r="AF33" s="322"/>
      <c r="AG33" s="322"/>
      <c r="AH33" s="322"/>
      <c r="AI33" s="322"/>
      <c r="AJ33" s="322"/>
      <c r="AK33" s="322"/>
      <c r="AL33" s="509"/>
      <c r="AS33" s="1155">
        <v>0</v>
      </c>
    </row>
    <row s="1853" customFormat="1" customHeight="1" ht="18.75" hidden="1">
      <c r="A34" s="1368"/>
      <c r="B34" s="1368"/>
      <c r="C34" s="1368"/>
      <c r="D34" s="1368"/>
      <c r="E34" s="1368"/>
      <c r="F34" s="1368"/>
      <c r="G34" s="1368"/>
      <c r="H34" s="1368"/>
      <c r="I34" s="1368"/>
      <c r="J34" s="1368"/>
      <c r="K34" s="1368"/>
      <c r="L34" s="1369"/>
      <c r="M34" s="1368"/>
      <c r="N34" s="1368"/>
      <c r="O34" s="1368"/>
      <c r="S34" s="2250" t="s">
        <v>427</v>
      </c>
      <c r="T34" s="2250"/>
      <c r="U34" s="1372"/>
      <c r="V34" s="2264" t="str">
        <f>IF(TITLE_DATE_PR_CHANGE="",IF(TITLE_DATE_PR="","",TITLE_DATE_PR),TITLE_DATE_PR_CHANGE)</f>
        <v/>
      </c>
      <c r="W34" s="2264"/>
      <c r="X34" s="2264"/>
      <c r="Y34" s="2264"/>
      <c r="Z34" s="2264"/>
      <c r="AA34" s="2264"/>
      <c r="AB34" s="2264"/>
      <c r="AC34" s="326"/>
      <c r="AD34" s="2264" t="str">
        <f>IF(TITLE_DATE_PR_CHANGE="",IF(TITLE_DATE_PR="","",TITLE_DATE_PR),TITLE_DATE_PR_CHANGE)</f>
        <v/>
      </c>
      <c r="AE34" s="2264"/>
      <c r="AF34" s="2264"/>
      <c r="AG34" s="2264"/>
      <c r="AH34" s="2264"/>
      <c r="AI34" s="2264"/>
      <c r="AJ34" s="2264"/>
      <c r="AK34" s="326"/>
      <c r="AL34" s="326"/>
      <c r="AM34" s="280"/>
      <c r="AN34" s="368"/>
      <c r="AO34" s="368"/>
      <c r="AP34" s="368"/>
      <c r="AQ34" s="368"/>
      <c r="AR34" s="368"/>
      <c r="AS34" s="418">
        <v>0</v>
      </c>
    </row>
    <row s="1853" customFormat="1" customHeight="1" ht="18.75" hidden="1">
      <c r="A35" s="1368"/>
      <c r="B35" s="1368"/>
      <c r="C35" s="1368"/>
      <c r="D35" s="1368"/>
      <c r="E35" s="1368"/>
      <c r="F35" s="1368"/>
      <c r="G35" s="1368"/>
      <c r="H35" s="1368"/>
      <c r="I35" s="1368"/>
      <c r="J35" s="1368"/>
      <c r="K35" s="1368"/>
      <c r="L35" s="1369"/>
      <c r="M35" s="1368"/>
      <c r="N35" s="1368"/>
      <c r="O35" s="1368"/>
      <c r="S35" s="2250" t="s">
        <v>428</v>
      </c>
      <c r="T35" s="2250"/>
      <c r="U35" s="1372"/>
      <c r="V35" s="2251" t="str">
        <f>IF(TITLE_NUMBER_PR_CHANGE="",IF(TITLE_NUMBER_PR="","",TITLE_NUMBER_PR),TITLE_NUMBER_PR_CHANGE)</f>
        <v/>
      </c>
      <c r="W35" s="2251"/>
      <c r="X35" s="2251"/>
      <c r="Y35" s="2251"/>
      <c r="Z35" s="2251"/>
      <c r="AA35" s="2251"/>
      <c r="AB35" s="2251"/>
      <c r="AC35" s="326"/>
      <c r="AD35" s="2251" t="str">
        <f>IF(TITLE_NUMBER_PR_CHANGE="",IF(TITLE_NUMBER_PR="","",TITLE_NUMBER_PR),TITLE_NUMBER_PR_CHANGE)</f>
        <v/>
      </c>
      <c r="AE35" s="2251"/>
      <c r="AF35" s="2251"/>
      <c r="AG35" s="2251"/>
      <c r="AH35" s="2251"/>
      <c r="AI35" s="2251"/>
      <c r="AJ35" s="2251"/>
      <c r="AK35" s="326"/>
      <c r="AL35" s="326"/>
      <c r="AM35" s="280"/>
      <c r="AN35" s="368"/>
      <c r="AO35" s="368"/>
      <c r="AP35" s="368"/>
      <c r="AQ35" s="368"/>
      <c r="AR35" s="368"/>
      <c r="AS35" s="418">
        <v>0</v>
      </c>
    </row>
    <row s="1853" customFormat="1" customHeight="1" ht="0">
      <c r="A36" s="1368"/>
      <c r="B36" s="1368"/>
      <c r="C36" s="1368"/>
      <c r="D36" s="1368"/>
      <c r="E36" s="1368"/>
      <c r="F36" s="1368"/>
      <c r="G36" s="1368"/>
      <c r="H36" s="1368"/>
      <c r="I36" s="1368"/>
      <c r="J36" s="1368"/>
      <c r="K36" s="1368"/>
      <c r="L36" s="1369"/>
      <c r="M36" s="1368"/>
      <c r="N36" s="1368"/>
      <c r="O36" s="1368"/>
      <c r="S36" s="323"/>
      <c r="T36" s="323"/>
      <c r="U36" s="1340"/>
      <c r="V36" s="326"/>
      <c r="W36" s="326"/>
      <c r="X36" s="326"/>
      <c r="Y36" s="326"/>
      <c r="Z36" s="326"/>
      <c r="AA36" s="326"/>
      <c r="AB36" s="326"/>
      <c r="AC36" s="278" t="s">
        <v>429</v>
      </c>
      <c r="AD36" s="326"/>
      <c r="AE36" s="326"/>
      <c r="AF36" s="326"/>
      <c r="AG36" s="326"/>
      <c r="AH36" s="326"/>
      <c r="AI36" s="326"/>
      <c r="AJ36" s="326"/>
      <c r="AK36" s="278" t="s">
        <v>429</v>
      </c>
      <c r="AN36" s="368"/>
      <c r="AO36" s="368"/>
      <c r="AP36" s="368"/>
      <c r="AQ36" s="368"/>
      <c r="AR36" s="368"/>
      <c r="AS36" s="418">
        <v>0</v>
      </c>
    </row>
    <row customHeight="1" ht="14.699999999999998">
      <c r="Q37" s="376"/>
      <c r="R37" s="376"/>
      <c r="S37" s="1275"/>
      <c r="T37" s="363"/>
      <c r="U37" s="1244"/>
      <c r="V37" s="2252"/>
      <c r="W37" s="2252"/>
      <c r="X37" s="2252"/>
      <c r="Y37" s="2252"/>
      <c r="Z37" s="2252"/>
      <c r="AA37" s="2252"/>
      <c r="AB37" s="2252"/>
      <c r="AC37" s="2252"/>
      <c r="AD37" s="2252"/>
      <c r="AE37" s="2252"/>
      <c r="AF37" s="2252"/>
      <c r="AG37" s="2252"/>
      <c r="AH37" s="2252"/>
      <c r="AI37" s="2252"/>
      <c r="AJ37" s="2252"/>
      <c r="AK37" s="2252"/>
      <c r="AS37" s="1155">
        <v>14</v>
      </c>
    </row>
    <row customHeight="1" ht="14.699999999999998">
      <c r="Q38" s="376"/>
      <c r="R38" s="376"/>
      <c r="S38" s="2127" t="s">
        <v>302</v>
      </c>
      <c r="T38" s="2127"/>
      <c r="U38" s="2127"/>
      <c r="V38" s="2127"/>
      <c r="W38" s="2127"/>
      <c r="X38" s="2127"/>
      <c r="Y38" s="2127"/>
      <c r="Z38" s="2127"/>
      <c r="AA38" s="2127"/>
      <c r="AB38" s="2127"/>
      <c r="AC38" s="2127"/>
      <c r="AD38" s="2127"/>
      <c r="AE38" s="2127"/>
      <c r="AF38" s="2127"/>
      <c r="AG38" s="2127"/>
      <c r="AH38" s="2127"/>
      <c r="AI38" s="2127"/>
      <c r="AJ38" s="2127"/>
      <c r="AK38" s="2127"/>
      <c r="AL38" s="2127"/>
      <c r="AM38" s="2127" t="s">
        <v>303</v>
      </c>
      <c r="AS38" s="1155">
        <v>14</v>
      </c>
    </row>
    <row customHeight="1" ht="14.699999999999998">
      <c r="Q39" s="376"/>
      <c r="R39" s="376"/>
      <c r="S39" s="2273" t="s">
        <v>88</v>
      </c>
      <c r="T39" s="2209" t="s">
        <v>430</v>
      </c>
      <c r="U39" s="301"/>
      <c r="V39" s="2274" t="s">
        <v>431</v>
      </c>
      <c r="W39" s="2275"/>
      <c r="X39" s="2275"/>
      <c r="Y39" s="2275"/>
      <c r="Z39" s="2275"/>
      <c r="AA39" s="2275"/>
      <c r="AB39" s="2276"/>
      <c r="AC39" s="2277" t="s">
        <v>432</v>
      </c>
      <c r="AD39" s="2274" t="s">
        <v>431</v>
      </c>
      <c r="AE39" s="2275"/>
      <c r="AF39" s="2275"/>
      <c r="AG39" s="2275"/>
      <c r="AH39" s="2275"/>
      <c r="AI39" s="2275"/>
      <c r="AJ39" s="2276"/>
      <c r="AK39" s="2277" t="s">
        <v>433</v>
      </c>
      <c r="AL39" s="2280" t="s">
        <v>434</v>
      </c>
      <c r="AM39" s="2127"/>
      <c r="AS39" s="1155">
        <v>14</v>
      </c>
    </row>
    <row customHeight="1" ht="35.699999999999996">
      <c r="Q40" s="376"/>
      <c r="R40" s="376"/>
      <c r="S40" s="2273"/>
      <c r="T40" s="2209"/>
      <c r="U40" s="1031"/>
      <c r="V40" s="2260" t="s">
        <v>435</v>
      </c>
      <c r="W40" s="2283" t="s">
        <v>436</v>
      </c>
      <c r="X40" s="2262" t="s">
        <v>437</v>
      </c>
      <c r="Y40" s="2263"/>
      <c r="Z40" s="2262" t="s">
        <v>451</v>
      </c>
      <c r="AA40" s="2269"/>
      <c r="AB40" s="2263"/>
      <c r="AC40" s="2278"/>
      <c r="AD40" s="2260" t="s">
        <v>435</v>
      </c>
      <c r="AE40" s="2283" t="s">
        <v>436</v>
      </c>
      <c r="AF40" s="2262" t="s">
        <v>437</v>
      </c>
      <c r="AG40" s="2263"/>
      <c r="AH40" s="2262" t="s">
        <v>438</v>
      </c>
      <c r="AI40" s="2269"/>
      <c r="AJ40" s="2263"/>
      <c r="AK40" s="2278"/>
      <c r="AL40" s="2281"/>
      <c r="AM40" s="2127"/>
      <c r="AS40" s="1155">
        <v>34</v>
      </c>
    </row>
    <row customHeight="1" ht="35.699999999999996">
      <c r="A41" s="1370"/>
      <c r="B41" s="1370" t="s">
        <v>139</v>
      </c>
      <c r="C41" s="1370" t="s">
        <v>140</v>
      </c>
      <c r="D41" s="1370" t="s">
        <v>141</v>
      </c>
      <c r="E41" s="1364" t="s">
        <v>439</v>
      </c>
      <c r="F41" s="1364" t="s">
        <v>440</v>
      </c>
      <c r="G41" s="1364" t="s">
        <v>441</v>
      </c>
      <c r="H41" s="1364" t="s">
        <v>442</v>
      </c>
      <c r="I41" s="1364" t="s">
        <v>443</v>
      </c>
      <c r="J41" s="1364" t="s">
        <v>444</v>
      </c>
      <c r="K41" s="1364" t="s">
        <v>445</v>
      </c>
      <c r="L41" s="1364" t="s">
        <v>420</v>
      </c>
      <c r="Q41" s="376"/>
      <c r="R41" s="376"/>
      <c r="S41" s="2273"/>
      <c r="T41" s="2209"/>
      <c r="U41" s="302"/>
      <c r="V41" s="2261"/>
      <c r="W41" s="2284"/>
      <c r="X41" s="1222" t="s">
        <v>446</v>
      </c>
      <c r="Y41" s="1222" t="s">
        <v>447</v>
      </c>
      <c r="Z41" s="1338" t="s">
        <v>448</v>
      </c>
      <c r="AA41" s="2270" t="s">
        <v>449</v>
      </c>
      <c r="AB41" s="2271"/>
      <c r="AC41" s="2279"/>
      <c r="AD41" s="2261"/>
      <c r="AE41" s="2284"/>
      <c r="AF41" s="1222" t="s">
        <v>446</v>
      </c>
      <c r="AG41" s="1222" t="s">
        <v>447</v>
      </c>
      <c r="AH41" s="1338" t="s">
        <v>448</v>
      </c>
      <c r="AI41" s="2270" t="s">
        <v>449</v>
      </c>
      <c r="AJ41" s="2271"/>
      <c r="AK41" s="2279"/>
      <c r="AL41" s="2282"/>
      <c r="AM41" s="2127"/>
      <c r="AS41" s="1155">
        <v>34</v>
      </c>
    </row>
    <row s="1641" customFormat="1" customHeight="1" ht="11.25" hidden="1">
      <c r="A42" s="1370"/>
      <c r="B42" s="1370"/>
      <c r="C42" s="1370"/>
      <c r="D42" s="1370"/>
      <c r="E42" s="1370"/>
      <c r="F42" s="1370"/>
      <c r="G42" s="1370"/>
      <c r="H42" s="1370"/>
      <c r="I42" s="1370"/>
      <c r="J42" s="1370"/>
      <c r="K42" s="1370"/>
      <c r="L42" s="1364"/>
      <c r="M42" s="1362"/>
      <c r="N42" s="1362"/>
      <c r="O42" s="1362"/>
      <c r="P42" s="1246"/>
      <c r="Q42" s="1247"/>
      <c r="R42" s="1254">
        <v>1</v>
      </c>
      <c r="S42" s="1277" t="s">
        <v>109</v>
      </c>
      <c r="T42" s="1255" t="s">
        <v>110</v>
      </c>
      <c r="U42" s="1245" t="str">
        <f>OFFSET(U42,0,-1)</f>
        <v>2</v>
      </c>
      <c r="V42" s="1335">
        <f>OFFSET(V42,0,-1)+1</f>
        <v>3</v>
      </c>
      <c r="W42" s="1335"/>
      <c r="X42" s="1335">
        <f>OFFSET(X42,0,-1)+1</f>
        <v>1</v>
      </c>
      <c r="Y42" s="1335">
        <f>OFFSET(Y42,0,-1)+1</f>
        <v>2</v>
      </c>
      <c r="Z42" s="1335">
        <f>OFFSET(Z42,0,-1)+1</f>
        <v>3</v>
      </c>
      <c r="AA42" s="2272">
        <f>OFFSET(AA42,0,-1)+1</f>
        <v>4</v>
      </c>
      <c r="AB42" s="2272"/>
      <c r="AC42" s="1335">
        <f>OFFSET(AC42,0,-2)+1</f>
        <v>5</v>
      </c>
      <c r="AD42" s="1335">
        <f>OFFSET(AD42,0,-1)+1</f>
        <v>6</v>
      </c>
      <c r="AE42" s="1335"/>
      <c r="AF42" s="1335">
        <f>OFFSET(AF42,0,-1)+1</f>
        <v>1</v>
      </c>
      <c r="AG42" s="1335">
        <f>OFFSET(AG42,0,-1)+1</f>
        <v>2</v>
      </c>
      <c r="AH42" s="1335">
        <f>OFFSET(AH42,0,-1)+1</f>
        <v>3</v>
      </c>
      <c r="AI42" s="2272">
        <f>OFFSET(AI42,0,-1)+1</f>
        <v>4</v>
      </c>
      <c r="AJ42" s="2272"/>
      <c r="AK42" s="1335">
        <f>OFFSET(AK42,0,-2)+1</f>
        <v>5</v>
      </c>
      <c r="AL42" s="1245">
        <f>OFFSET(AL42,0,-1)</f>
        <v>5</v>
      </c>
      <c r="AM42" s="1335">
        <f>OFFSET(AM42,0,-1)+1</f>
        <v>6</v>
      </c>
      <c r="AN42" s="511"/>
      <c r="AO42" s="511"/>
      <c r="AP42" s="511"/>
      <c r="AQ42" s="511"/>
      <c r="AR42" s="511"/>
      <c r="AS42" s="496">
        <v>0</v>
      </c>
    </row>
    <row customHeight="1" ht="22.049999999999997">
      <c r="A43" s="1363" t="s">
        <v>165</v>
      </c>
      <c r="B43" s="1363"/>
      <c r="C43" s="1363"/>
      <c r="D43" s="1363"/>
      <c r="E43" s="2258">
        <v>1</v>
      </c>
      <c r="F43" s="1363"/>
      <c r="G43" s="1363"/>
      <c r="H43" s="1363"/>
      <c r="I43" s="1363"/>
      <c r="J43" s="1363"/>
      <c r="K43" s="1363"/>
      <c r="L43" s="1364"/>
      <c r="M43" s="1365"/>
      <c r="N43" s="1365"/>
      <c r="O43" s="1365"/>
      <c r="P43" s="361"/>
      <c r="Q43" s="360"/>
      <c r="R43" s="355"/>
      <c r="S43" s="1336">
        <f>INDEX(PT_DIFFERENTIATION_NUM_NTAR,MATCH(A43,PT_DIFFERENTIATION_NTAR_ID,0))</f>
        <v>0</v>
      </c>
      <c r="T43" s="298" t="s">
        <v>127</v>
      </c>
      <c r="U43" s="300"/>
      <c r="V43" s="2242"/>
      <c r="W43" s="2243"/>
      <c r="X43" s="2243"/>
      <c r="Y43" s="2243"/>
      <c r="Z43" s="2243"/>
      <c r="AA43" s="2243"/>
      <c r="AB43" s="2243"/>
      <c r="AC43" s="2244"/>
      <c r="AD43" s="2242" t="str">
        <f>INDEX(PT_DIFFERENTIATION_NTAR,MATCH(A43,PT_DIFFERENTIATION_NTAR_ID,0))</f>
        <v/>
      </c>
      <c r="AE43" s="2243"/>
      <c r="AF43" s="2243"/>
      <c r="AG43" s="2243"/>
      <c r="AH43" s="2243"/>
      <c r="AI43" s="2243"/>
      <c r="AJ43" s="2243"/>
      <c r="AK43" s="2243"/>
      <c r="AL43" s="2244"/>
      <c r="AM43" s="1258"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00"/>
      <c r="AP43" s="500" t="str">
        <f>IF(T43="","",T43)</f>
        <v>Наименование тарифа</v>
      </c>
      <c r="AQ43" s="500"/>
      <c r="AR43" s="500"/>
      <c r="AS43" s="1155">
        <v>21</v>
      </c>
    </row>
    <row customHeight="1" ht="22.049999999999997">
      <c r="A44" s="1363" t="s">
        <v>165</v>
      </c>
      <c r="B44" s="1363" t="s">
        <v>166</v>
      </c>
      <c r="C44" s="1363"/>
      <c r="D44" s="1363"/>
      <c r="E44" s="2259"/>
      <c r="F44" s="2258">
        <v>1</v>
      </c>
      <c r="G44" s="1363"/>
      <c r="H44" s="1363"/>
      <c r="I44" s="1363"/>
      <c r="J44" s="1363"/>
      <c r="K44" s="1363"/>
      <c r="L44" s="1364"/>
      <c r="M44" s="1365"/>
      <c r="N44" s="1365"/>
      <c r="O44" s="1365"/>
      <c r="P44" s="1332"/>
      <c r="Q44" s="352"/>
      <c r="R44" s="353"/>
      <c r="S44" s="1336" t="str">
        <f>INDEX(PT_DIFFERENTIATION_NUM_TER,MATCH(B44,PT_DIFFERENTIATION_TER_ID,0))</f>
        <v>.</v>
      </c>
      <c r="T44" s="308" t="s">
        <v>399</v>
      </c>
      <c r="U44" s="300"/>
      <c r="V44" s="2242"/>
      <c r="W44" s="2243"/>
      <c r="X44" s="2243"/>
      <c r="Y44" s="2243"/>
      <c r="Z44" s="2243"/>
      <c r="AA44" s="2243"/>
      <c r="AB44" s="2243"/>
      <c r="AC44" s="2244"/>
      <c r="AD44" s="2242" t="str">
        <f>INDEX(PT_DIFFERENTIATION_TER,MATCH(B44,PT_DIFFERENTIATION_TER_ID,0))</f>
        <v/>
      </c>
      <c r="AE44" s="2243"/>
      <c r="AF44" s="2243"/>
      <c r="AG44" s="2243"/>
      <c r="AH44" s="2243"/>
      <c r="AI44" s="2243"/>
      <c r="AJ44" s="2243"/>
      <c r="AK44" s="2243"/>
      <c r="AL44" s="2244"/>
      <c r="AM44" s="1258" t="s">
        <v>400</v>
      </c>
      <c r="AO44" s="500"/>
      <c r="AP44" s="500" t="str">
        <f>IF(T44="","",T44)</f>
        <v>Территория действия тарифа</v>
      </c>
      <c r="AQ44" s="500"/>
      <c r="AR44" s="500"/>
      <c r="AS44" s="1155">
        <v>21</v>
      </c>
    </row>
    <row customHeight="1" ht="24">
      <c r="A45" s="1363" t="s">
        <v>165</v>
      </c>
      <c r="B45" s="1363" t="s">
        <v>166</v>
      </c>
      <c r="C45" s="1363" t="s">
        <v>167</v>
      </c>
      <c r="D45" s="1363"/>
      <c r="E45" s="2259"/>
      <c r="F45" s="2259"/>
      <c r="G45" s="2258">
        <v>1</v>
      </c>
      <c r="H45" s="1363"/>
      <c r="I45" s="1363"/>
      <c r="J45" s="1363"/>
      <c r="K45" s="1363"/>
      <c r="L45" s="1364"/>
      <c r="M45" s="1365"/>
      <c r="N45" s="1365"/>
      <c r="O45" s="1365"/>
      <c r="P45" s="354"/>
      <c r="Q45" s="352"/>
      <c r="R45" s="353"/>
      <c r="S45" s="1336" t="str">
        <f>INDEX(PT_DIFFERENTIATION_NUM_CS,MATCH(C45,PT_DIFFERENTIATION_CS_ID,0))</f>
        <v>..</v>
      </c>
      <c r="T45" s="309" t="s">
        <v>401</v>
      </c>
      <c r="U45" s="300"/>
      <c r="V45" s="2242"/>
      <c r="W45" s="2243"/>
      <c r="X45" s="2243"/>
      <c r="Y45" s="2243"/>
      <c r="Z45" s="2243"/>
      <c r="AA45" s="2243"/>
      <c r="AB45" s="2243"/>
      <c r="AC45" s="2244"/>
      <c r="AD45" s="2242" t="str">
        <f>INDEX(PT_DIFFERENTIATION_CS,MATCH(C45,PT_DIFFERENTIATION_CS_ID,0))</f>
        <v/>
      </c>
      <c r="AE45" s="2243"/>
      <c r="AF45" s="2243"/>
      <c r="AG45" s="2243"/>
      <c r="AH45" s="2243"/>
      <c r="AI45" s="2243"/>
      <c r="AJ45" s="2243"/>
      <c r="AK45" s="2243"/>
      <c r="AL45" s="2244"/>
      <c r="AM45" s="1258" t="s">
        <v>402</v>
      </c>
      <c r="AO45" s="500"/>
      <c r="AP45" s="500" t="str">
        <f>IF(T45="","",T45)</f>
        <v>Наименование системы теплоснабжения </v>
      </c>
      <c r="AQ45" s="500"/>
      <c r="AR45" s="500"/>
      <c r="AS45" s="1155">
        <v>23</v>
      </c>
    </row>
    <row customHeight="1" ht="22.049999999999997">
      <c r="A46" s="1363" t="s">
        <v>165</v>
      </c>
      <c r="B46" s="1363" t="s">
        <v>166</v>
      </c>
      <c r="C46" s="1363" t="s">
        <v>167</v>
      </c>
      <c r="D46" s="1363" t="s">
        <v>168</v>
      </c>
      <c r="E46" s="2259"/>
      <c r="F46" s="2259"/>
      <c r="G46" s="2259"/>
      <c r="H46" s="2258">
        <v>1</v>
      </c>
      <c r="I46" s="1363"/>
      <c r="J46" s="1363"/>
      <c r="K46" s="1363"/>
      <c r="L46" s="1364"/>
      <c r="M46" s="1365"/>
      <c r="N46" s="1365"/>
      <c r="O46" s="1365"/>
      <c r="P46" s="354"/>
      <c r="Q46" s="352"/>
      <c r="R46" s="353"/>
      <c r="S46" s="1336" t="str">
        <f>INDEX(PT_DIFFERENTIATION_NUM_IST_TE,MATCH(D46,PT_DIFFERENTIATION_IST_TE_ID,0))</f>
        <v>...</v>
      </c>
      <c r="T46" s="310" t="s">
        <v>403</v>
      </c>
      <c r="U46" s="300"/>
      <c r="V46" s="2242"/>
      <c r="W46" s="2243"/>
      <c r="X46" s="2243"/>
      <c r="Y46" s="2243"/>
      <c r="Z46" s="2243"/>
      <c r="AA46" s="2243"/>
      <c r="AB46" s="2243"/>
      <c r="AC46" s="2244"/>
      <c r="AD46" s="2242" t="str">
        <f>INDEX(PT_DIFFERENTIATION_IST_TE,MATCH(D46,PT_DIFFERENTIATION_IST_TE_ID,0))</f>
        <v/>
      </c>
      <c r="AE46" s="2243"/>
      <c r="AF46" s="2243"/>
      <c r="AG46" s="2243"/>
      <c r="AH46" s="2243"/>
      <c r="AI46" s="2243"/>
      <c r="AJ46" s="2243"/>
      <c r="AK46" s="2243"/>
      <c r="AL46" s="2244"/>
      <c r="AM46" s="1258" t="s">
        <v>404</v>
      </c>
      <c r="AO46" s="500"/>
      <c r="AP46" s="500" t="str">
        <f>IF(T46="","",T46)</f>
        <v>Источник тепловой энергии  </v>
      </c>
      <c r="AQ46" s="500"/>
      <c r="AR46" s="500"/>
      <c r="AS46" s="1155">
        <v>21</v>
      </c>
    </row>
    <row customHeight="1" ht="49.5">
      <c r="A47" s="1363" t="s">
        <v>165</v>
      </c>
      <c r="B47" s="1363" t="s">
        <v>166</v>
      </c>
      <c r="C47" s="1363" t="s">
        <v>167</v>
      </c>
      <c r="D47" s="1363" t="s">
        <v>168</v>
      </c>
      <c r="E47" s="2259"/>
      <c r="F47" s="2259"/>
      <c r="G47" s="2259"/>
      <c r="H47" s="2259"/>
      <c r="I47" s="2256" t="str">
        <f>S46&amp;".1"</f>
        <v>....1</v>
      </c>
      <c r="J47" s="1363"/>
      <c r="K47" s="1363"/>
      <c r="L47" s="1364" t="s">
        <v>405</v>
      </c>
      <c r="P47" s="2257">
        <v>1</v>
      </c>
      <c r="Q47" s="1331"/>
      <c r="R47" s="356"/>
      <c r="S47" s="1336" t="str">
        <f>$I47</f>
        <v>....1</v>
      </c>
      <c r="T47" s="285" t="s">
        <v>406</v>
      </c>
      <c r="U47" s="300"/>
      <c r="V47" s="2245"/>
      <c r="W47" s="2246"/>
      <c r="X47" s="2246"/>
      <c r="Y47" s="2246"/>
      <c r="Z47" s="2246"/>
      <c r="AA47" s="2246"/>
      <c r="AB47" s="2246"/>
      <c r="AC47" s="2247"/>
      <c r="AD47" s="2245"/>
      <c r="AE47" s="2246"/>
      <c r="AF47" s="2246"/>
      <c r="AG47" s="2246"/>
      <c r="AH47" s="2246"/>
      <c r="AI47" s="2246"/>
      <c r="AJ47" s="2246"/>
      <c r="AK47" s="2246"/>
      <c r="AL47" s="2247"/>
      <c r="AM47" s="1258" t="s">
        <v>407</v>
      </c>
      <c r="AO47" s="500"/>
      <c r="AP47" s="500" t="str">
        <f>IF(T47="","",T47)</f>
        <v>Схема подключения теплопотребляющей установки к коллектору источника тепловой энергии</v>
      </c>
      <c r="AQ47" s="500"/>
      <c r="AR47" s="500"/>
      <c r="AS47" s="1155">
        <v>47</v>
      </c>
    </row>
    <row customHeight="1" ht="22.049999999999997">
      <c r="A48" s="1363" t="s">
        <v>165</v>
      </c>
      <c r="B48" s="1363" t="s">
        <v>166</v>
      </c>
      <c r="C48" s="1363" t="s">
        <v>167</v>
      </c>
      <c r="D48" s="1363" t="s">
        <v>168</v>
      </c>
      <c r="E48" s="2259"/>
      <c r="F48" s="2259"/>
      <c r="G48" s="2259"/>
      <c r="H48" s="2259"/>
      <c r="I48" s="2286"/>
      <c r="J48" s="2256" t="str">
        <f>I47&amp;".1"</f>
        <v>....1.1</v>
      </c>
      <c r="K48" s="1363"/>
      <c r="L48" s="1364" t="s">
        <v>408</v>
      </c>
      <c r="P48" s="2257"/>
      <c r="Q48" s="2257">
        <v>1</v>
      </c>
      <c r="R48" s="357"/>
      <c r="S48" s="1336" t="str">
        <f>$J48</f>
        <v>....1.1</v>
      </c>
      <c r="T48" s="286" t="s">
        <v>409</v>
      </c>
      <c r="U48" s="300"/>
      <c r="V48" s="2245"/>
      <c r="W48" s="2246"/>
      <c r="X48" s="2246"/>
      <c r="Y48" s="2246"/>
      <c r="Z48" s="2246"/>
      <c r="AA48" s="2246"/>
      <c r="AB48" s="2246"/>
      <c r="AC48" s="2247"/>
      <c r="AD48" s="2245"/>
      <c r="AE48" s="2246"/>
      <c r="AF48" s="2246"/>
      <c r="AG48" s="2246"/>
      <c r="AH48" s="2246"/>
      <c r="AI48" s="2246"/>
      <c r="AJ48" s="2246"/>
      <c r="AK48" s="2246"/>
      <c r="AL48" s="2247"/>
      <c r="AM48" s="1258" t="s">
        <v>410</v>
      </c>
      <c r="AO48" s="500"/>
      <c r="AP48" s="500" t="str">
        <f>IF(T48="","",T48)</f>
        <v>Группа потребителей</v>
      </c>
      <c r="AQ48" s="500"/>
      <c r="AR48" s="500"/>
      <c r="AS48" s="1155">
        <v>21</v>
      </c>
    </row>
    <row customHeight="1" ht="22.049999999999997">
      <c r="A49" s="1363" t="s">
        <v>165</v>
      </c>
      <c r="B49" s="1363" t="s">
        <v>166</v>
      </c>
      <c r="C49" s="1363" t="s">
        <v>167</v>
      </c>
      <c r="D49" s="1363" t="s">
        <v>168</v>
      </c>
      <c r="E49" s="2259"/>
      <c r="F49" s="2259"/>
      <c r="G49" s="2259"/>
      <c r="H49" s="2259"/>
      <c r="I49" s="2286"/>
      <c r="J49" s="2286"/>
      <c r="K49" s="2256" t="str">
        <f>J48&amp;".1"</f>
        <v>....1.1.1</v>
      </c>
      <c r="L49" s="1364" t="s">
        <v>411</v>
      </c>
      <c r="P49" s="2257"/>
      <c r="Q49" s="2257"/>
      <c r="R49" s="357">
        <v>1</v>
      </c>
      <c r="S49" s="1336" t="str">
        <f>$K49</f>
        <v>....1.1.1</v>
      </c>
      <c r="T49" s="1347"/>
      <c r="U49" s="300"/>
      <c r="V49" s="751"/>
      <c r="W49" s="325"/>
      <c r="X49" s="751"/>
      <c r="Y49" s="1257"/>
      <c r="Z49" s="2265"/>
      <c r="AA49" s="2107" t="s">
        <v>66</v>
      </c>
      <c r="AB49" s="2265"/>
      <c r="AC49" s="2107" t="s">
        <v>66</v>
      </c>
      <c r="AD49" s="751"/>
      <c r="AE49" s="325"/>
      <c r="AF49" s="751"/>
      <c r="AG49" s="1257"/>
      <c r="AH49" s="2265"/>
      <c r="AI49" s="2107" t="s">
        <v>66</v>
      </c>
      <c r="AJ49" s="2287"/>
      <c r="AK49" s="2107" t="s">
        <v>66</v>
      </c>
      <c r="AL49" s="1348"/>
      <c r="AM49" s="2253" t="s">
        <v>412</v>
      </c>
      <c r="AN49" s="511">
        <f>STRCHECKDATE(V50:AL50)</f>
      </c>
      <c r="AO49" s="500"/>
      <c r="AP49" s="500" t="str">
        <f>IF(T49="","",T49)</f>
        <v/>
      </c>
      <c r="AQ49" s="500"/>
      <c r="AR49" s="500"/>
      <c r="AS49" s="1155">
        <v>21</v>
      </c>
    </row>
    <row customHeight="1" ht="1.05">
      <c r="A50" s="1363" t="s">
        <v>165</v>
      </c>
      <c r="B50" s="1363" t="s">
        <v>166</v>
      </c>
      <c r="C50" s="1363" t="s">
        <v>167</v>
      </c>
      <c r="D50" s="1363" t="s">
        <v>168</v>
      </c>
      <c r="E50" s="2259"/>
      <c r="F50" s="2259"/>
      <c r="G50" s="2259"/>
      <c r="H50" s="2259"/>
      <c r="I50" s="2286"/>
      <c r="J50" s="2286"/>
      <c r="K50" s="2256"/>
      <c r="L50" s="1364"/>
      <c r="P50" s="2257"/>
      <c r="Q50" s="2257"/>
      <c r="R50" s="357"/>
      <c r="S50" s="1342"/>
      <c r="T50" s="300"/>
      <c r="U50" s="300"/>
      <c r="V50" s="325"/>
      <c r="W50" s="325"/>
      <c r="X50" s="325"/>
      <c r="Y50" s="328" t="str">
        <f>Z49&amp;"-"&amp;AB49</f>
        <v>-</v>
      </c>
      <c r="Z50" s="2266"/>
      <c r="AA50" s="2107"/>
      <c r="AB50" s="2266"/>
      <c r="AC50" s="2107"/>
      <c r="AD50" s="325"/>
      <c r="AE50" s="325"/>
      <c r="AF50" s="325"/>
      <c r="AG50" s="328" t="str">
        <f>AH49&amp;"-"&amp;AJ49</f>
        <v>-</v>
      </c>
      <c r="AH50" s="2266"/>
      <c r="AI50" s="2107"/>
      <c r="AJ50" s="2288"/>
      <c r="AK50" s="2107"/>
      <c r="AL50" s="1349"/>
      <c r="AM50" s="2254"/>
      <c r="AO50" s="500"/>
      <c r="AP50" s="500" t="str">
        <f>IF(T50="","",T50)</f>
        <v/>
      </c>
      <c r="AQ50" s="500"/>
      <c r="AR50" s="500"/>
      <c r="AS50" s="1155">
        <v>1</v>
      </c>
    </row>
    <row customHeight="1" ht="11.549999999999999">
      <c r="A51" s="1363" t="s">
        <v>165</v>
      </c>
      <c r="B51" s="1363" t="s">
        <v>166</v>
      </c>
      <c r="C51" s="1363" t="s">
        <v>167</v>
      </c>
      <c r="D51" s="1363" t="s">
        <v>168</v>
      </c>
      <c r="E51" s="2259"/>
      <c r="F51" s="2259"/>
      <c r="G51" s="2259"/>
      <c r="H51" s="2259"/>
      <c r="I51" s="2286"/>
      <c r="J51" s="2256"/>
      <c r="K51" s="1363"/>
      <c r="L51" s="1364"/>
      <c r="P51" s="2257"/>
      <c r="Q51" s="2257"/>
      <c r="R51" s="356"/>
      <c r="S51" s="1278"/>
      <c r="T51" s="288" t="s">
        <v>413</v>
      </c>
      <c r="U51" s="367"/>
      <c r="V51" s="367"/>
      <c r="W51" s="367"/>
      <c r="X51" s="367"/>
      <c r="Y51" s="367"/>
      <c r="Z51" s="367"/>
      <c r="AA51" s="367"/>
      <c r="AB51" s="367"/>
      <c r="AC51" s="367"/>
      <c r="AD51" s="367"/>
      <c r="AE51" s="367"/>
      <c r="AF51" s="367"/>
      <c r="AG51" s="367"/>
      <c r="AH51" s="367"/>
      <c r="AI51" s="367"/>
      <c r="AJ51" s="367"/>
      <c r="AK51" s="367"/>
      <c r="AL51" s="324"/>
      <c r="AM51" s="2255"/>
      <c r="AO51" s="500"/>
      <c r="AP51" s="500" t="str">
        <f>IF(T51="","",T51)</f>
        <v>Добавить вид теплоносителя (параметры теплоносителя)</v>
      </c>
      <c r="AQ51" s="500"/>
      <c r="AR51" s="500"/>
      <c r="AS51" s="1155">
        <v>11</v>
      </c>
    </row>
    <row customHeight="1" ht="11.549999999999999">
      <c r="A52" s="1363" t="s">
        <v>165</v>
      </c>
      <c r="B52" s="1363" t="s">
        <v>166</v>
      </c>
      <c r="C52" s="1363" t="s">
        <v>167</v>
      </c>
      <c r="D52" s="1363" t="s">
        <v>168</v>
      </c>
      <c r="E52" s="2259"/>
      <c r="F52" s="2259"/>
      <c r="G52" s="2259"/>
      <c r="H52" s="2259"/>
      <c r="I52" s="2256"/>
      <c r="J52" s="1363"/>
      <c r="K52" s="1363"/>
      <c r="L52" s="1364"/>
      <c r="P52" s="2257"/>
      <c r="Q52" s="1331"/>
      <c r="R52" s="356"/>
      <c r="S52" s="1278"/>
      <c r="T52" s="287" t="s">
        <v>414</v>
      </c>
      <c r="U52" s="367"/>
      <c r="V52" s="367"/>
      <c r="W52" s="367"/>
      <c r="X52" s="367"/>
      <c r="Y52" s="367"/>
      <c r="Z52" s="367"/>
      <c r="AA52" s="367"/>
      <c r="AB52" s="367"/>
      <c r="AC52" s="366"/>
      <c r="AD52" s="367"/>
      <c r="AE52" s="367"/>
      <c r="AF52" s="367"/>
      <c r="AG52" s="367"/>
      <c r="AH52" s="367"/>
      <c r="AI52" s="367"/>
      <c r="AJ52" s="367"/>
      <c r="AK52" s="366"/>
      <c r="AL52" s="367"/>
      <c r="AM52" s="303"/>
      <c r="AO52" s="500"/>
      <c r="AP52" s="500" t="str">
        <f>IF(T52="","",T52)</f>
        <v>Добавить группу потребителей</v>
      </c>
      <c r="AQ52" s="500"/>
      <c r="AR52" s="500"/>
      <c r="AS52" s="1155">
        <v>11</v>
      </c>
    </row>
    <row customHeight="1" ht="14.699999999999998">
      <c r="A53" s="1363" t="s">
        <v>165</v>
      </c>
      <c r="B53" s="1363" t="s">
        <v>166</v>
      </c>
      <c r="C53" s="1363" t="s">
        <v>167</v>
      </c>
      <c r="D53" s="1363" t="s">
        <v>168</v>
      </c>
      <c r="E53" s="2259"/>
      <c r="F53" s="2259"/>
      <c r="G53" s="2259"/>
      <c r="H53" s="2258"/>
      <c r="I53" s="1363"/>
      <c r="J53" s="1363"/>
      <c r="K53" s="1363"/>
      <c r="L53" s="1364"/>
      <c r="M53" s="1365"/>
      <c r="N53" s="1365"/>
      <c r="O53" s="537"/>
      <c r="P53" s="360"/>
      <c r="Q53" s="375"/>
      <c r="R53" s="355"/>
      <c r="S53" s="1278"/>
      <c r="T53" s="365" t="s">
        <v>415</v>
      </c>
      <c r="U53" s="367"/>
      <c r="V53" s="367"/>
      <c r="W53" s="367"/>
      <c r="X53" s="367"/>
      <c r="Y53" s="367"/>
      <c r="Z53" s="367"/>
      <c r="AA53" s="367"/>
      <c r="AB53" s="367"/>
      <c r="AC53" s="366"/>
      <c r="AD53" s="367"/>
      <c r="AE53" s="367"/>
      <c r="AF53" s="367"/>
      <c r="AG53" s="367"/>
      <c r="AH53" s="367"/>
      <c r="AI53" s="367"/>
      <c r="AJ53" s="367"/>
      <c r="AK53" s="366"/>
      <c r="AL53" s="367"/>
      <c r="AM53" s="303"/>
      <c r="AO53" s="500"/>
      <c r="AP53" s="500" t="str">
        <f>IF(T53="","",T53)</f>
        <v>Добавить схему подключения</v>
      </c>
      <c r="AQ53" s="500"/>
      <c r="AR53" s="500"/>
      <c r="AS53" s="1155">
        <v>14</v>
      </c>
    </row>
    <row s="1642" customFormat="1" customHeight="1" ht="1.05">
      <c r="A54" s="1343" t="s">
        <v>165</v>
      </c>
      <c r="B54" s="1343" t="s">
        <v>166</v>
      </c>
      <c r="C54" s="1343" t="s">
        <v>167</v>
      </c>
      <c r="D54" s="1314"/>
      <c r="E54" s="2259"/>
      <c r="F54" s="2259"/>
      <c r="G54" s="2258"/>
      <c r="H54" s="1314"/>
      <c r="I54" s="1314"/>
      <c r="J54" s="1314"/>
      <c r="K54" s="1314"/>
      <c r="L54" s="1339"/>
      <c r="M54" s="1315"/>
      <c r="N54" s="1315"/>
      <c r="P54" s="1316"/>
      <c r="Q54" s="1317"/>
      <c r="R54" s="1316"/>
      <c r="S54" s="1322"/>
      <c r="T54" s="1325" t="s">
        <v>416</v>
      </c>
      <c r="U54" s="1324"/>
      <c r="V54" s="1324"/>
      <c r="W54" s="1324"/>
      <c r="X54" s="1324"/>
      <c r="Y54" s="1324"/>
      <c r="Z54" s="1324"/>
      <c r="AA54" s="1324"/>
      <c r="AB54" s="1324"/>
      <c r="AC54" s="1324"/>
      <c r="AD54" s="1324"/>
      <c r="AE54" s="1324"/>
      <c r="AF54" s="1324"/>
      <c r="AG54" s="1324"/>
      <c r="AH54" s="1324"/>
      <c r="AI54" s="1324"/>
      <c r="AJ54" s="1324"/>
      <c r="AK54" s="1324"/>
      <c r="AL54" s="1324"/>
      <c r="AM54" s="1324"/>
      <c r="AO54" s="789"/>
      <c r="AP54" s="789" t="str">
        <f>IF(T54="","",T54)</f>
        <v>Добавить источник для дифференциации</v>
      </c>
      <c r="AQ54" s="789"/>
      <c r="AR54" s="789"/>
      <c r="AS54" s="518">
        <v>1</v>
      </c>
    </row>
    <row s="1642" customFormat="1" customHeight="1" ht="1.05">
      <c r="A55" s="1343" t="s">
        <v>165</v>
      </c>
      <c r="B55" s="1343" t="s">
        <v>166</v>
      </c>
      <c r="C55" s="1314"/>
      <c r="D55" s="1314"/>
      <c r="E55" s="2259"/>
      <c r="F55" s="2258"/>
      <c r="G55" s="1314"/>
      <c r="H55" s="1314"/>
      <c r="I55" s="1314"/>
      <c r="J55" s="1314"/>
      <c r="K55" s="1314"/>
      <c r="L55" s="1339"/>
      <c r="M55" s="1321"/>
      <c r="N55" s="1321"/>
      <c r="P55" s="1316"/>
      <c r="Q55" s="1317"/>
      <c r="R55" s="1316"/>
      <c r="S55" s="1322"/>
      <c r="T55" s="1325" t="s">
        <v>417</v>
      </c>
      <c r="U55" s="1324"/>
      <c r="V55" s="1324"/>
      <c r="W55" s="1324"/>
      <c r="X55" s="1324"/>
      <c r="Y55" s="1324"/>
      <c r="Z55" s="1324"/>
      <c r="AA55" s="1324"/>
      <c r="AB55" s="1324"/>
      <c r="AC55" s="1324"/>
      <c r="AD55" s="1324"/>
      <c r="AE55" s="1324"/>
      <c r="AF55" s="1324"/>
      <c r="AG55" s="1324"/>
      <c r="AH55" s="1324"/>
      <c r="AI55" s="1324"/>
      <c r="AJ55" s="1324"/>
      <c r="AK55" s="1324"/>
      <c r="AL55" s="1324"/>
      <c r="AM55" s="1324"/>
      <c r="AO55" s="789"/>
      <c r="AP55" s="789" t="str">
        <f>IF(T55="","",T55)</f>
        <v>Добавить централизованную систему для дифференциации</v>
      </c>
      <c r="AQ55" s="789"/>
      <c r="AR55" s="789"/>
      <c r="AS55" s="518">
        <v>1</v>
      </c>
    </row>
    <row s="1642" customFormat="1" customHeight="1" ht="1.05">
      <c r="A56" s="1343" t="s">
        <v>165</v>
      </c>
      <c r="B56" s="1343"/>
      <c r="C56" s="1343"/>
      <c r="D56" s="1343"/>
      <c r="E56" s="2258"/>
      <c r="F56" s="1343"/>
      <c r="G56" s="1343"/>
      <c r="H56" s="1343"/>
      <c r="I56" s="1343"/>
      <c r="J56" s="1343"/>
      <c r="K56" s="1343"/>
      <c r="L56" s="1346"/>
      <c r="M56" s="1321"/>
      <c r="N56" s="1321"/>
      <c r="O56" s="518"/>
      <c r="P56" s="380"/>
      <c r="Q56" s="1344"/>
      <c r="R56" s="380"/>
      <c r="S56" s="1322"/>
      <c r="T56" s="1325" t="s">
        <v>418</v>
      </c>
      <c r="U56" s="1324"/>
      <c r="V56" s="1324"/>
      <c r="W56" s="1324"/>
      <c r="X56" s="1324"/>
      <c r="Y56" s="1324"/>
      <c r="Z56" s="1324"/>
      <c r="AA56" s="1324"/>
      <c r="AB56" s="1324"/>
      <c r="AC56" s="1324"/>
      <c r="AD56" s="1324"/>
      <c r="AE56" s="1324"/>
      <c r="AF56" s="1324"/>
      <c r="AG56" s="1324"/>
      <c r="AH56" s="1324"/>
      <c r="AI56" s="1324"/>
      <c r="AJ56" s="1324"/>
      <c r="AK56" s="1324"/>
      <c r="AL56" s="1324"/>
      <c r="AM56" s="1324"/>
      <c r="AO56" s="500"/>
      <c r="AP56" s="500" t="str">
        <f>IF(T56="","",T56)</f>
        <v>Добавить территорию для дифференциации</v>
      </c>
      <c r="AQ56" s="500"/>
      <c r="AR56" s="500"/>
      <c r="AS56" s="511">
        <v>1</v>
      </c>
    </row>
    <row s="1642" customFormat="1" customHeight="1" ht="1.05">
      <c r="A57" s="1314"/>
      <c r="B57" s="1314"/>
      <c r="C57" s="1314"/>
      <c r="D57" s="1314"/>
      <c r="E57" s="1343"/>
      <c r="F57" s="1314"/>
      <c r="G57" s="1314"/>
      <c r="H57" s="1314"/>
      <c r="I57" s="1314"/>
      <c r="J57" s="1314"/>
      <c r="K57" s="1314"/>
      <c r="L57" s="1339"/>
      <c r="M57" s="1321"/>
      <c r="N57" s="1321"/>
      <c r="P57" s="1316"/>
      <c r="Q57" s="1317"/>
      <c r="R57" s="1316"/>
      <c r="S57" s="1322"/>
      <c r="T57" s="1325" t="s">
        <v>450</v>
      </c>
      <c r="U57" s="1324"/>
      <c r="V57" s="1324"/>
      <c r="W57" s="1324"/>
      <c r="X57" s="1324"/>
      <c r="Y57" s="1324"/>
      <c r="Z57" s="1324"/>
      <c r="AA57" s="1324"/>
      <c r="AB57" s="1324"/>
      <c r="AC57" s="1324"/>
      <c r="AD57" s="1324"/>
      <c r="AE57" s="1324"/>
      <c r="AF57" s="1324"/>
      <c r="AG57" s="1324"/>
      <c r="AH57" s="1324"/>
      <c r="AI57" s="1324"/>
      <c r="AJ57" s="1324"/>
      <c r="AK57" s="1324"/>
      <c r="AL57" s="1324"/>
      <c r="AM57" s="1324"/>
      <c r="AO57" s="789"/>
      <c r="AP57" s="789" t="str">
        <f>IF(T57="","",T57)</f>
        <v>Добавить наименование тарифа</v>
      </c>
      <c r="AQ57" s="789"/>
      <c r="AR57" s="789"/>
      <c r="AS57" s="518">
        <v>1</v>
      </c>
    </row>
    <row customHeight="1" ht="11.549999999999999">
      <c r="M58" s="1160"/>
      <c r="N58" s="1160"/>
      <c r="O58" s="537"/>
      <c r="P58" s="1155"/>
      <c r="Q58" s="1155"/>
      <c r="R58" s="1155"/>
      <c r="S58" s="1155"/>
      <c r="AN58" s="1155"/>
      <c r="AO58" s="1155"/>
      <c r="AP58" s="1155"/>
      <c r="AQ58" s="1155"/>
      <c r="AR58" s="1155"/>
      <c r="AS58" s="1155">
        <v>11</v>
      </c>
    </row>
    <row customHeight="1" ht="28.5">
      <c r="O59" s="537"/>
      <c r="S59" s="1253"/>
      <c r="T59" s="2285"/>
      <c r="U59" s="2285"/>
      <c r="V59" s="2285"/>
      <c r="W59" s="2285"/>
      <c r="X59" s="2285"/>
      <c r="Y59" s="2285"/>
      <c r="Z59" s="2285"/>
      <c r="AA59" s="2285"/>
      <c r="AB59" s="2285"/>
      <c r="AC59" s="2285"/>
      <c r="AD59" s="2285"/>
      <c r="AE59" s="2285"/>
      <c r="AF59" s="2285"/>
      <c r="AG59" s="2285"/>
      <c r="AH59" s="2285"/>
      <c r="AI59" s="2285"/>
      <c r="AJ59" s="2285"/>
      <c r="AK59" s="2285"/>
      <c r="AL59" s="2285"/>
      <c r="AM59" s="2285"/>
      <c r="AS59" s="1155">
        <v>27</v>
      </c>
    </row>
    <row customHeight="1" ht="65.25">
      <c r="O60" s="537"/>
      <c r="T60" s="2285"/>
      <c r="U60" s="2285"/>
      <c r="V60" s="2285"/>
      <c r="W60" s="2285"/>
      <c r="X60" s="2285"/>
      <c r="Y60" s="2285"/>
      <c r="Z60" s="2285"/>
      <c r="AA60" s="2285"/>
      <c r="AB60" s="2285"/>
      <c r="AC60" s="2285"/>
      <c r="AD60" s="2285"/>
      <c r="AE60" s="2285"/>
      <c r="AF60" s="2285"/>
      <c r="AG60" s="2285"/>
      <c r="AH60" s="2285"/>
      <c r="AI60" s="2285"/>
      <c r="AJ60" s="2285"/>
      <c r="AK60" s="2285"/>
      <c r="AL60" s="2285"/>
      <c r="AM60" s="2285"/>
      <c r="AS60" s="1155">
        <v>62</v>
      </c>
    </row>
    <row customHeight="1" ht="14.699999999999998">
      <c r="O61" s="537"/>
      <c r="AS61" s="1155">
        <v>14</v>
      </c>
    </row>
    <row customHeight="1" ht="18.75">
      <c r="O62" s="537"/>
      <c r="S62" s="1253"/>
      <c r="T62" s="2285"/>
      <c r="U62" s="2285"/>
      <c r="V62" s="2285"/>
      <c r="W62" s="2285"/>
      <c r="X62" s="2285"/>
      <c r="Y62" s="2285"/>
      <c r="Z62" s="2285"/>
      <c r="AA62" s="2285"/>
      <c r="AB62" s="2285"/>
      <c r="AC62" s="2285"/>
      <c r="AD62" s="2285"/>
      <c r="AE62" s="2285"/>
      <c r="AF62" s="2285"/>
      <c r="AG62" s="2285"/>
      <c r="AH62" s="2285"/>
      <c r="AI62" s="2285"/>
      <c r="AJ62" s="2285"/>
      <c r="AK62" s="2285"/>
      <c r="AL62" s="2285"/>
      <c r="AM62" s="2285"/>
      <c r="AS62" s="1155">
        <v>18</v>
      </c>
    </row>
    <row customHeight="1" ht="18.75">
      <c r="O63" s="537"/>
      <c r="T63" s="2285"/>
      <c r="U63" s="2285"/>
      <c r="V63" s="2285"/>
      <c r="W63" s="2285"/>
      <c r="X63" s="2285"/>
      <c r="Y63" s="2285"/>
      <c r="Z63" s="2285"/>
      <c r="AA63" s="2285"/>
      <c r="AB63" s="2285"/>
      <c r="AC63" s="2285"/>
      <c r="AD63" s="2285"/>
      <c r="AE63" s="2285"/>
      <c r="AF63" s="2285"/>
      <c r="AG63" s="2285"/>
      <c r="AH63" s="2285"/>
      <c r="AI63" s="2285"/>
      <c r="AJ63" s="2285"/>
      <c r="AK63" s="2285"/>
      <c r="AL63" s="2285"/>
      <c r="AM63" s="2285"/>
      <c r="AS63" s="1155">
        <v>18</v>
      </c>
    </row>
    <row customHeight="1" ht="29.25">
      <c r="O64" s="537"/>
      <c r="S64" s="1253"/>
      <c r="T64" s="2285"/>
      <c r="U64" s="2285"/>
      <c r="V64" s="2285"/>
      <c r="W64" s="2285"/>
      <c r="X64" s="2285"/>
      <c r="Y64" s="2285"/>
      <c r="Z64" s="2285"/>
      <c r="AA64" s="2285"/>
      <c r="AB64" s="2285"/>
      <c r="AC64" s="2285"/>
      <c r="AD64" s="2285"/>
      <c r="AE64" s="2285"/>
      <c r="AF64" s="2285"/>
      <c r="AG64" s="2285"/>
      <c r="AH64" s="2285"/>
      <c r="AI64" s="2285"/>
      <c r="AJ64" s="2285"/>
      <c r="AK64" s="2285"/>
      <c r="AL64" s="2285"/>
      <c r="AM64" s="2285"/>
      <c r="AS64" s="1155">
        <v>28</v>
      </c>
    </row>
    <row customHeight="1" ht="22.5" hidden="1">
      <c r="A65" s="1160" t="s">
        <v>82</v>
      </c>
      <c r="B65" s="1160">
        <v>0</v>
      </c>
      <c r="C65" s="1160">
        <v>0</v>
      </c>
      <c r="D65" s="1160">
        <v>0</v>
      </c>
      <c r="E65" s="1160">
        <v>0</v>
      </c>
      <c r="F65" s="1160">
        <v>0</v>
      </c>
      <c r="G65" s="1160">
        <v>0</v>
      </c>
      <c r="H65" s="1160">
        <v>0</v>
      </c>
      <c r="I65" s="1160">
        <v>0</v>
      </c>
      <c r="J65" s="1160">
        <v>0</v>
      </c>
      <c r="K65" s="1160">
        <v>0</v>
      </c>
      <c r="L65" s="1329">
        <v>0</v>
      </c>
      <c r="M65" s="1362">
        <v>0</v>
      </c>
      <c r="N65" s="1362">
        <v>0</v>
      </c>
      <c r="O65" s="1362">
        <v>0</v>
      </c>
      <c r="P65" s="1328">
        <v>3</v>
      </c>
      <c r="Q65" s="344">
        <v>3</v>
      </c>
      <c r="R65" s="344">
        <v>3</v>
      </c>
      <c r="S65" s="581">
        <v>12</v>
      </c>
      <c r="T65" s="1155">
        <v>31</v>
      </c>
      <c r="U65" s="1155">
        <v>0</v>
      </c>
      <c r="V65" s="1155">
        <v>0</v>
      </c>
      <c r="W65" s="1155">
        <v>0</v>
      </c>
      <c r="X65" s="1155">
        <v>0</v>
      </c>
      <c r="Y65" s="1155">
        <v>0</v>
      </c>
      <c r="Z65" s="1155">
        <v>0</v>
      </c>
      <c r="AA65" s="1155">
        <v>0</v>
      </c>
      <c r="AB65" s="1155">
        <v>0</v>
      </c>
      <c r="AC65" s="1155">
        <v>0</v>
      </c>
      <c r="AD65" s="1155">
        <v>24</v>
      </c>
      <c r="AE65" s="1155">
        <v>0</v>
      </c>
      <c r="AF65" s="1155">
        <v>24</v>
      </c>
      <c r="AG65" s="1155">
        <v>24</v>
      </c>
      <c r="AH65" s="1155">
        <v>11</v>
      </c>
      <c r="AI65" s="1155">
        <v>3</v>
      </c>
      <c r="AJ65" s="1155">
        <v>11</v>
      </c>
      <c r="AK65" s="1155">
        <v>0</v>
      </c>
      <c r="AL65" s="1155">
        <v>4</v>
      </c>
      <c r="AM65" s="1155">
        <v>115</v>
      </c>
      <c r="AN65" s="511">
        <v>10</v>
      </c>
      <c r="AO65" s="511">
        <v>10</v>
      </c>
      <c r="AP65" s="511">
        <v>10</v>
      </c>
      <c r="AQ65" s="511">
        <v>10</v>
      </c>
      <c r="AR65" s="511">
        <v>10</v>
      </c>
      <c r="AS65" s="1155">
        <v>23</v>
      </c>
    </row>
  </sheetData>
  <sheetProtection formatColumns="0" formatRows="0" autoFilter="0" sort="0" insertRows="0" insertColumns="1" deleteRows="0" deleteColumns="0"/>
  <mergeCells count="112">
    <mergeCell ref="T63:AM63"/>
    <mergeCell ref="T64:AM64"/>
    <mergeCell ref="T62:AM62"/>
    <mergeCell ref="AM49:AM51"/>
    <mergeCell ref="T59:AM59"/>
    <mergeCell ref="T60:AM60"/>
    <mergeCell ref="J48:J51"/>
    <mergeCell ref="Q48:Q51"/>
    <mergeCell ref="V48:AC48"/>
    <mergeCell ref="AD48:AL48"/>
    <mergeCell ref="K49:K50"/>
    <mergeCell ref="Z49:Z50"/>
    <mergeCell ref="AA49:AA50"/>
    <mergeCell ref="AB49:AB50"/>
    <mergeCell ref="AC49:AC50"/>
    <mergeCell ref="AH49:AH50"/>
    <mergeCell ref="AI49:AI50"/>
    <mergeCell ref="AJ49:AJ50"/>
    <mergeCell ref="AK49:AK50"/>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V47:AC47"/>
    <mergeCell ref="AD47:AL47"/>
    <mergeCell ref="AH40:AJ40"/>
    <mergeCell ref="AA41:AB41"/>
    <mergeCell ref="AI41:AJ41"/>
    <mergeCell ref="AA42:AB42"/>
    <mergeCell ref="AI42:AJ42"/>
    <mergeCell ref="S38:AL38"/>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E40:AE41"/>
    <mergeCell ref="AF40:AG40"/>
    <mergeCell ref="S32:T32"/>
    <mergeCell ref="V32:AB32"/>
    <mergeCell ref="AD32:AJ32"/>
    <mergeCell ref="V37:AC37"/>
    <mergeCell ref="AD37:AK37"/>
    <mergeCell ref="S34:T34"/>
    <mergeCell ref="V34:AB34"/>
    <mergeCell ref="AD34:AJ34"/>
    <mergeCell ref="S35:T35"/>
    <mergeCell ref="V35:AB35"/>
    <mergeCell ref="AD35:AJ35"/>
    <mergeCell ref="AM8:AM10"/>
    <mergeCell ref="AH17:AH18"/>
    <mergeCell ref="AI17:AI18"/>
    <mergeCell ref="AJ17:AJ18"/>
    <mergeCell ref="AK17:AK18"/>
    <mergeCell ref="AH8:AH9"/>
    <mergeCell ref="AI8:AI9"/>
    <mergeCell ref="AJ8:AJ9"/>
    <mergeCell ref="AK8:AK9"/>
    <mergeCell ref="V7:AC7"/>
    <mergeCell ref="AD7:AL7"/>
    <mergeCell ref="V2:AC2"/>
    <mergeCell ref="AD2:AL2"/>
    <mergeCell ref="V3:AC3"/>
    <mergeCell ref="AD3:AL3"/>
    <mergeCell ref="V4:AC4"/>
    <mergeCell ref="AD4:AL4"/>
    <mergeCell ref="V5:AC5"/>
    <mergeCell ref="AD5:AL5"/>
    <mergeCell ref="V6:AC6"/>
    <mergeCell ref="AD6:AL6"/>
    <mergeCell ref="S26:AJ26"/>
    <mergeCell ref="S27:AJ27"/>
    <mergeCell ref="S29:T29"/>
    <mergeCell ref="AD29:AJ29"/>
    <mergeCell ref="S30:T30"/>
    <mergeCell ref="V30:AB30"/>
    <mergeCell ref="AD30:AJ30"/>
    <mergeCell ref="S31:T31"/>
    <mergeCell ref="E2:E15"/>
    <mergeCell ref="F3:F14"/>
    <mergeCell ref="G4:G13"/>
    <mergeCell ref="H5:H12"/>
    <mergeCell ref="I6:I11"/>
    <mergeCell ref="P6:P11"/>
    <mergeCell ref="J7:J10"/>
    <mergeCell ref="Q7:Q10"/>
    <mergeCell ref="K8:K9"/>
    <mergeCell ref="Z8:Z9"/>
    <mergeCell ref="AA8:AA9"/>
    <mergeCell ref="AB8:AB9"/>
    <mergeCell ref="AC8:AC9"/>
    <mergeCell ref="V29:AB29"/>
    <mergeCell ref="V31:AB31"/>
    <mergeCell ref="AD31:AJ31"/>
  </mergeCells>
  <dataValidations count="8">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FAE8116-6F24-0A4A-D334-C9634984D508}" mc:Ignorable="x14ac xr xr2 xr3">
  <sheetPr>
    <tabColor theme="6" tint="0.4"/>
  </sheetPr>
  <dimension ref="A1:AS65"/>
  <sheetViews>
    <sheetView showGridLines="0" zoomScale="90" workbookViewId="0">
      <pane xSplit="29" ySplit="42" topLeftCell="AD43" activePane="bottomRight" state="frozen"/>
      <selection pane="bottomLeft" activeCell="A43" sqref="A43"/>
      <selection pane="topRight" activeCell="AD1" sqref="AD1"/>
      <selection pane="bottomRight" activeCell="A1" sqref="A1"/>
    </sheetView>
  </sheetViews>
  <sheetFormatPr defaultColWidth="10.57421875" customHeight="1" defaultRowHeight="14.25"/>
  <cols>
    <col min="1" max="1" style="1635" width="10.57421875" hidden="1"/>
    <col min="2" max="2" style="1635" width="11.00390625" hidden="1" customWidth="1"/>
    <col min="3" max="3" style="1635" width="10.57421875" hidden="1"/>
    <col min="4" max="4" style="1635" width="11.8515625" hidden="1" customWidth="1"/>
    <col min="5" max="5" style="1635" width="10.00390625" hidden="1" customWidth="1"/>
    <col min="6" max="6" style="1635" width="8.7109375" hidden="1" customWidth="1"/>
    <col min="7" max="7" style="1635" width="7.57421875" hidden="1" customWidth="1"/>
    <col min="8" max="8" style="1635" width="11.421875" hidden="1" customWidth="1"/>
    <col min="9" max="9" style="1635" width="12.00390625" hidden="1" customWidth="1"/>
    <col min="10" max="10" style="1635" width="9.8515625" hidden="1" customWidth="1"/>
    <col min="11" max="11" style="1635" width="11.421875" hidden="1" customWidth="1"/>
    <col min="12" max="12" style="2125" width="19.140625" hidden="1" customWidth="1"/>
    <col min="13" max="14" style="2397" width="12.28125" hidden="1" customWidth="1"/>
    <col min="15" max="15" style="2397" width="23.421875" hidden="1" customWidth="1"/>
    <col min="16" max="16" style="2397" width="3.00390625" customWidth="1"/>
    <col min="17" max="18" style="344" width="3.00390625" customWidth="1"/>
    <col min="19" max="19" style="2407" width="12.00390625" customWidth="1"/>
    <col min="20" max="20" style="1635" width="31.00390625" customWidth="1"/>
    <col min="21" max="21" style="1635" width="0.140625" customWidth="1"/>
    <col min="22" max="22" style="1635" width="24.7109375" hidden="1" customWidth="1"/>
    <col min="23" max="23" style="1635" width="0.140625" hidden="1" customWidth="1"/>
    <col min="24" max="25" style="1635" width="24.7109375" hidden="1" customWidth="1"/>
    <col min="26" max="26" style="1635" width="11.7109375" hidden="1" customWidth="1"/>
    <col min="27" max="27" style="1635" width="3.7109375" hidden="1" customWidth="1"/>
    <col min="28" max="28" style="1635" width="11.7109375" hidden="1" customWidth="1"/>
    <col min="29" max="29" style="1635" width="8.57421875" hidden="1" customWidth="1"/>
    <col min="30" max="30" style="1635" width="24.7109375" customWidth="1"/>
    <col min="31" max="31" style="1635" width="0.140625" customWidth="1"/>
    <col min="32" max="33" style="1635" width="24.00390625" customWidth="1"/>
    <col min="34" max="34" style="1635" width="11.00390625" customWidth="1"/>
    <col min="35" max="35" style="1635" width="3.7109375" customWidth="1"/>
    <col min="36" max="36" style="1635" width="11.00390625" customWidth="1"/>
    <col min="37" max="37" style="1635" width="8.57421875" hidden="1" customWidth="1"/>
    <col min="38" max="38" style="1635" width="4.00390625" customWidth="1"/>
    <col min="39" max="39" style="1635" width="115.00390625" customWidth="1"/>
    <col min="40" max="44" style="1642" width="10.00390625" customWidth="1"/>
    <col min="45" max="45" style="1635" width="10.57421875" hidden="1"/>
  </cols>
  <sheetData>
    <row customHeight="1" ht="22.5" hidden="1">
      <c r="AS1" s="1631" t="s">
        <v>14</v>
      </c>
    </row>
    <row customHeight="1" ht="21" hidden="1">
      <c r="A2" s="1267"/>
      <c r="B2" s="1267"/>
      <c r="C2" s="1267"/>
      <c r="D2" s="1267"/>
      <c r="E2" s="2289">
        <v>1</v>
      </c>
      <c r="F2" s="1267"/>
      <c r="G2" s="1267"/>
      <c r="H2" s="1267"/>
      <c r="I2" s="1267"/>
      <c r="J2" s="1267"/>
      <c r="K2" s="1267"/>
      <c r="L2" s="1310"/>
      <c r="M2" s="1610"/>
      <c r="N2" s="1610"/>
      <c r="O2" s="1610"/>
      <c r="P2" s="1590"/>
      <c r="Q2" s="360"/>
      <c r="R2" s="355"/>
      <c r="S2" s="1958">
        <f>INDEX(PT_DIFFERENTIATION_NUM_NTAR,MATCH(A2,PT_DIFFERENTIATION_NTAR_ID,0))</f>
      </c>
      <c r="T2" s="1525" t="s">
        <v>127</v>
      </c>
      <c r="U2" s="300"/>
      <c r="V2" s="2242"/>
      <c r="W2" s="2243"/>
      <c r="X2" s="2243"/>
      <c r="Y2" s="2243"/>
      <c r="Z2" s="2243"/>
      <c r="AA2" s="2243"/>
      <c r="AB2" s="2243"/>
      <c r="AC2" s="2244"/>
      <c r="AD2" s="2242">
        <f>INDEX(PT_DIFFERENTIATION_NTAR,MATCH(A2,PT_DIFFERENTIATION_NTAR_ID,0))</f>
      </c>
      <c r="AE2" s="2243"/>
      <c r="AF2" s="2243"/>
      <c r="AG2" s="2243"/>
      <c r="AH2" s="2243"/>
      <c r="AI2" s="2243"/>
      <c r="AJ2" s="2243"/>
      <c r="AK2" s="2243"/>
      <c r="AL2" s="2244"/>
      <c r="AM2" s="1258" t="s">
        <v>398</v>
      </c>
      <c r="AO2" s="1624"/>
      <c r="AP2" s="1624" t="str">
        <f>IF(T2="","",T2)</f>
        <v>Наименование тарифа</v>
      </c>
      <c r="AQ2" s="1624"/>
      <c r="AR2" s="1624"/>
      <c r="AS2" s="1631">
        <v>0</v>
      </c>
    </row>
    <row customHeight="1" ht="21" hidden="1">
      <c r="A3" s="1267"/>
      <c r="B3" s="1267"/>
      <c r="C3" s="1267"/>
      <c r="D3" s="1267"/>
      <c r="E3" s="2290"/>
      <c r="F3" s="2289">
        <v>1</v>
      </c>
      <c r="G3" s="1267"/>
      <c r="H3" s="1267"/>
      <c r="I3" s="1267"/>
      <c r="J3" s="1267"/>
      <c r="K3" s="1267"/>
      <c r="L3" s="1310"/>
      <c r="M3" s="1610"/>
      <c r="N3" s="1610"/>
      <c r="O3" s="1610"/>
      <c r="P3" s="1940"/>
      <c r="Q3" s="352"/>
      <c r="R3" s="353"/>
      <c r="S3" s="1958">
        <f>INDEX(PT_DIFFERENTIATION_NUM_TER,MATCH(B3,PT_DIFFERENTIATION_TER_ID,0))</f>
      </c>
      <c r="T3" s="1522" t="s">
        <v>399</v>
      </c>
      <c r="U3" s="300"/>
      <c r="V3" s="2242"/>
      <c r="W3" s="2243"/>
      <c r="X3" s="2243"/>
      <c r="Y3" s="2243"/>
      <c r="Z3" s="2243"/>
      <c r="AA3" s="2243"/>
      <c r="AB3" s="2243"/>
      <c r="AC3" s="2244"/>
      <c r="AD3" s="2242">
        <f>INDEX(PT_DIFFERENTIATION_TER,MATCH(B3,PT_DIFFERENTIATION_TER_ID,0))</f>
      </c>
      <c r="AE3" s="2243"/>
      <c r="AF3" s="2243"/>
      <c r="AG3" s="2243"/>
      <c r="AH3" s="2243"/>
      <c r="AI3" s="2243"/>
      <c r="AJ3" s="2243"/>
      <c r="AK3" s="2243"/>
      <c r="AL3" s="2244"/>
      <c r="AM3" s="1258" t="s">
        <v>400</v>
      </c>
      <c r="AO3" s="1624"/>
      <c r="AP3" s="1624" t="str">
        <f>IF(T3="","",T3)</f>
        <v>Территория действия тарифа</v>
      </c>
      <c r="AQ3" s="1624"/>
      <c r="AR3" s="1624"/>
      <c r="AS3" s="1631">
        <v>0</v>
      </c>
    </row>
    <row customHeight="1" ht="23.25" hidden="1">
      <c r="A4" s="1267"/>
      <c r="B4" s="1267"/>
      <c r="C4" s="1267"/>
      <c r="D4" s="1267"/>
      <c r="E4" s="2290"/>
      <c r="F4" s="2290"/>
      <c r="G4" s="2289">
        <v>1</v>
      </c>
      <c r="H4" s="1267"/>
      <c r="I4" s="1267"/>
      <c r="J4" s="1267"/>
      <c r="K4" s="1267"/>
      <c r="L4" s="1310"/>
      <c r="M4" s="1610"/>
      <c r="N4" s="1610"/>
      <c r="O4" s="1610"/>
      <c r="P4" s="354"/>
      <c r="Q4" s="352"/>
      <c r="R4" s="353"/>
      <c r="S4" s="1958">
        <f>INDEX(PT_DIFFERENTIATION_NUM_CS,MATCH(C4,PT_DIFFERENTIATION_CS_ID,0))</f>
      </c>
      <c r="T4" s="309" t="s">
        <v>401</v>
      </c>
      <c r="U4" s="300"/>
      <c r="V4" s="2242"/>
      <c r="W4" s="2243"/>
      <c r="X4" s="2243"/>
      <c r="Y4" s="2243"/>
      <c r="Z4" s="2243"/>
      <c r="AA4" s="2243"/>
      <c r="AB4" s="2243"/>
      <c r="AC4" s="2244"/>
      <c r="AD4" s="2242">
        <f>INDEX(PT_DIFFERENTIATION_CS,MATCH(C4,PT_DIFFERENTIATION_CS_ID,0))</f>
      </c>
      <c r="AE4" s="2243"/>
      <c r="AF4" s="2243"/>
      <c r="AG4" s="2243"/>
      <c r="AH4" s="2243"/>
      <c r="AI4" s="2243"/>
      <c r="AJ4" s="2243"/>
      <c r="AK4" s="2243"/>
      <c r="AL4" s="2244"/>
      <c r="AM4" s="1258" t="s">
        <v>402</v>
      </c>
      <c r="AO4" s="1624"/>
      <c r="AP4" s="1624" t="str">
        <f>IF(T4="","",T4)</f>
        <v>Наименование системы теплоснабжения </v>
      </c>
      <c r="AQ4" s="1624"/>
      <c r="AR4" s="1624"/>
      <c r="AS4" s="1631">
        <v>0</v>
      </c>
    </row>
    <row customHeight="1" ht="21" hidden="1">
      <c r="A5" s="1267"/>
      <c r="B5" s="1267"/>
      <c r="C5" s="1267"/>
      <c r="D5" s="1267"/>
      <c r="E5" s="2290"/>
      <c r="F5" s="2290"/>
      <c r="G5" s="2290"/>
      <c r="H5" s="2289">
        <v>1</v>
      </c>
      <c r="I5" s="1267"/>
      <c r="J5" s="1267"/>
      <c r="K5" s="1267"/>
      <c r="L5" s="1310"/>
      <c r="M5" s="1610"/>
      <c r="N5" s="1610"/>
      <c r="O5" s="1610"/>
      <c r="P5" s="354"/>
      <c r="Q5" s="352"/>
      <c r="R5" s="353"/>
      <c r="S5" s="1958">
        <f>INDEX(PT_DIFFERENTIATION_NUM_IST_TE,MATCH(D5,PT_DIFFERENTIATION_IST_TE_ID,0))</f>
      </c>
      <c r="T5" s="310" t="s">
        <v>403</v>
      </c>
      <c r="U5" s="300"/>
      <c r="V5" s="2242"/>
      <c r="W5" s="2243"/>
      <c r="X5" s="2243"/>
      <c r="Y5" s="2243"/>
      <c r="Z5" s="2243"/>
      <c r="AA5" s="2243"/>
      <c r="AB5" s="2243"/>
      <c r="AC5" s="2244"/>
      <c r="AD5" s="2242">
        <f>INDEX(PT_DIFFERENTIATION_IST_TE,MATCH(D5,PT_DIFFERENTIATION_IST_TE_ID,0))</f>
      </c>
      <c r="AE5" s="2243"/>
      <c r="AF5" s="2243"/>
      <c r="AG5" s="2243"/>
      <c r="AH5" s="2243"/>
      <c r="AI5" s="2243"/>
      <c r="AJ5" s="2243"/>
      <c r="AK5" s="2243"/>
      <c r="AL5" s="2244"/>
      <c r="AM5" s="1258" t="s">
        <v>404</v>
      </c>
      <c r="AO5" s="1624"/>
      <c r="AP5" s="1624" t="str">
        <f>IF(T5="","",T5)</f>
        <v>Источник тепловой энергии  </v>
      </c>
      <c r="AQ5" s="1624"/>
      <c r="AR5" s="1624"/>
      <c r="AS5" s="1631">
        <v>0</v>
      </c>
    </row>
    <row customHeight="1" ht="47.25" hidden="1">
      <c r="A6" s="1267"/>
      <c r="B6" s="1267"/>
      <c r="C6" s="1267"/>
      <c r="D6" s="1267"/>
      <c r="E6" s="2290"/>
      <c r="F6" s="2290"/>
      <c r="G6" s="2290"/>
      <c r="H6" s="2290"/>
      <c r="I6" s="2127">
        <f>S5&amp;".1"</f>
      </c>
      <c r="J6" s="1267"/>
      <c r="K6" s="1267"/>
      <c r="L6" s="1310" t="s">
        <v>405</v>
      </c>
      <c r="M6" s="1635"/>
      <c r="P6" s="2257">
        <v>1</v>
      </c>
      <c r="Q6" s="1954"/>
      <c r="R6" s="356"/>
      <c r="S6" s="1958">
        <f>$I6</f>
      </c>
      <c r="T6" s="285" t="s">
        <v>406</v>
      </c>
      <c r="U6" s="300"/>
      <c r="V6" s="2245"/>
      <c r="W6" s="2246"/>
      <c r="X6" s="2246"/>
      <c r="Y6" s="2246"/>
      <c r="Z6" s="2246"/>
      <c r="AA6" s="2246"/>
      <c r="AB6" s="2246"/>
      <c r="AC6" s="2247"/>
      <c r="AD6" s="2245"/>
      <c r="AE6" s="2246"/>
      <c r="AF6" s="2246"/>
      <c r="AG6" s="2246"/>
      <c r="AH6" s="2246"/>
      <c r="AI6" s="2246"/>
      <c r="AJ6" s="2246"/>
      <c r="AK6" s="2246"/>
      <c r="AL6" s="2247"/>
      <c r="AM6" s="1258" t="s">
        <v>407</v>
      </c>
      <c r="AO6" s="1624"/>
      <c r="AP6" s="1624" t="str">
        <f>IF(T6="","",T6)</f>
        <v>Схема подключения теплопотребляющей установки к коллектору источника тепловой энергии</v>
      </c>
      <c r="AQ6" s="1624"/>
      <c r="AR6" s="1624"/>
      <c r="AS6" s="1631">
        <v>0</v>
      </c>
    </row>
    <row customHeight="1" ht="21" hidden="1">
      <c r="A7" s="1267"/>
      <c r="B7" s="1267"/>
      <c r="C7" s="1267"/>
      <c r="D7" s="1267"/>
      <c r="E7" s="2290"/>
      <c r="F7" s="2290"/>
      <c r="G7" s="2290"/>
      <c r="H7" s="2290"/>
      <c r="I7" s="2101"/>
      <c r="J7" s="2127">
        <f>I6&amp;".1"</f>
      </c>
      <c r="K7" s="1267"/>
      <c r="L7" s="1310" t="s">
        <v>408</v>
      </c>
      <c r="M7" s="1635"/>
      <c r="N7" s="1631"/>
      <c r="P7" s="2257"/>
      <c r="Q7" s="2257">
        <v>1</v>
      </c>
      <c r="R7" s="357"/>
      <c r="S7" s="1958">
        <f>$J7</f>
      </c>
      <c r="T7" s="286" t="s">
        <v>409</v>
      </c>
      <c r="U7" s="300"/>
      <c r="V7" s="2245"/>
      <c r="W7" s="2246"/>
      <c r="X7" s="2246"/>
      <c r="Y7" s="2246"/>
      <c r="Z7" s="2246"/>
      <c r="AA7" s="2246"/>
      <c r="AB7" s="2246"/>
      <c r="AC7" s="2247"/>
      <c r="AD7" s="2245"/>
      <c r="AE7" s="2246"/>
      <c r="AF7" s="2246"/>
      <c r="AG7" s="2246"/>
      <c r="AH7" s="2246"/>
      <c r="AI7" s="2246"/>
      <c r="AJ7" s="2246"/>
      <c r="AK7" s="2246"/>
      <c r="AL7" s="2247"/>
      <c r="AM7" s="1258" t="s">
        <v>410</v>
      </c>
      <c r="AO7" s="1624"/>
      <c r="AP7" s="1624" t="str">
        <f>IF(T7="","",T7)</f>
        <v>Группа потребителей</v>
      </c>
      <c r="AQ7" s="1624"/>
      <c r="AR7" s="1624"/>
      <c r="AS7" s="1631">
        <v>0</v>
      </c>
    </row>
    <row customHeight="1" ht="21" hidden="1">
      <c r="A8" s="1267"/>
      <c r="B8" s="1267"/>
      <c r="C8" s="1267"/>
      <c r="D8" s="1267"/>
      <c r="E8" s="2290"/>
      <c r="F8" s="2290"/>
      <c r="G8" s="2290"/>
      <c r="H8" s="2290"/>
      <c r="I8" s="2101"/>
      <c r="J8" s="2101"/>
      <c r="K8" s="2127">
        <f>J7&amp;".1"</f>
      </c>
      <c r="L8" s="1310" t="s">
        <v>411</v>
      </c>
      <c r="M8" s="1635"/>
      <c r="N8" s="1631"/>
      <c r="O8" s="1631"/>
      <c r="P8" s="2257"/>
      <c r="Q8" s="2257"/>
      <c r="R8" s="357">
        <v>1</v>
      </c>
      <c r="S8" s="1958">
        <f>$K8</f>
      </c>
      <c r="T8" s="1347"/>
      <c r="U8" s="300"/>
      <c r="V8" s="751"/>
      <c r="W8" s="325"/>
      <c r="X8" s="751"/>
      <c r="Y8" s="1257"/>
      <c r="Z8" s="2265"/>
      <c r="AA8" s="2107" t="s">
        <v>66</v>
      </c>
      <c r="AB8" s="2265"/>
      <c r="AC8" s="2107" t="s">
        <v>66</v>
      </c>
      <c r="AD8" s="751"/>
      <c r="AE8" s="325"/>
      <c r="AF8" s="751"/>
      <c r="AG8" s="1257"/>
      <c r="AH8" s="2265"/>
      <c r="AI8" s="2107" t="s">
        <v>66</v>
      </c>
      <c r="AJ8" s="2265"/>
      <c r="AK8" s="2107" t="s">
        <v>66</v>
      </c>
      <c r="AL8" s="325"/>
      <c r="AM8" s="2253" t="s">
        <v>412</v>
      </c>
      <c r="AN8" s="1636">
        <f>STRCHECKDATE(V9:AL9)</f>
      </c>
      <c r="AO8" s="1624"/>
      <c r="AP8" s="1624" t="str">
        <f>IF(T8="","",T8)</f>
        <v/>
      </c>
      <c r="AQ8" s="1624"/>
      <c r="AR8" s="1624"/>
      <c r="AS8" s="1631">
        <v>0</v>
      </c>
    </row>
    <row customHeight="1" ht="0.75" hidden="1">
      <c r="A9" s="1267"/>
      <c r="B9" s="1267"/>
      <c r="C9" s="1267"/>
      <c r="D9" s="1267"/>
      <c r="E9" s="2290"/>
      <c r="F9" s="2290"/>
      <c r="G9" s="2290"/>
      <c r="H9" s="2290"/>
      <c r="I9" s="2101"/>
      <c r="J9" s="2101"/>
      <c r="K9" s="2127"/>
      <c r="L9" s="1310"/>
      <c r="M9" s="1635"/>
      <c r="N9" s="1631"/>
      <c r="O9" s="1631"/>
      <c r="P9" s="2257"/>
      <c r="Q9" s="2257"/>
      <c r="R9" s="357"/>
      <c r="S9" s="1967"/>
      <c r="T9" s="300"/>
      <c r="U9" s="300"/>
      <c r="V9" s="325"/>
      <c r="W9" s="325"/>
      <c r="X9" s="325"/>
      <c r="Y9" s="328" t="str">
        <f>Z8&amp;"-"&amp;AB8</f>
        <v>-</v>
      </c>
      <c r="Z9" s="2266"/>
      <c r="AA9" s="2107"/>
      <c r="AB9" s="2266"/>
      <c r="AC9" s="2107"/>
      <c r="AD9" s="325"/>
      <c r="AE9" s="325"/>
      <c r="AF9" s="325"/>
      <c r="AG9" s="328" t="str">
        <f>AH8&amp;"-"&amp;AJ8</f>
        <v>-</v>
      </c>
      <c r="AH9" s="2266"/>
      <c r="AI9" s="2107"/>
      <c r="AJ9" s="2266"/>
      <c r="AK9" s="2107"/>
      <c r="AL9" s="325"/>
      <c r="AM9" s="2254"/>
      <c r="AO9" s="1624"/>
      <c r="AP9" s="1624" t="str">
        <f>IF(T9="","",T9)</f>
        <v/>
      </c>
      <c r="AQ9" s="1624"/>
      <c r="AR9" s="1624"/>
      <c r="AS9" s="1631">
        <v>0</v>
      </c>
    </row>
    <row customHeight="1" ht="15" hidden="1">
      <c r="A10" s="1267"/>
      <c r="B10" s="1267"/>
      <c r="C10" s="1267"/>
      <c r="D10" s="1267"/>
      <c r="E10" s="2290"/>
      <c r="F10" s="2290"/>
      <c r="G10" s="2290"/>
      <c r="H10" s="2290"/>
      <c r="I10" s="2101"/>
      <c r="J10" s="2127"/>
      <c r="K10" s="1267"/>
      <c r="L10" s="1310"/>
      <c r="M10" s="1635"/>
      <c r="N10" s="1631"/>
      <c r="P10" s="2257"/>
      <c r="Q10" s="2257"/>
      <c r="R10" s="356"/>
      <c r="S10" s="1278"/>
      <c r="T10" s="288" t="s">
        <v>413</v>
      </c>
      <c r="U10" s="600"/>
      <c r="V10" s="600"/>
      <c r="W10" s="600"/>
      <c r="X10" s="600"/>
      <c r="Y10" s="600"/>
      <c r="Z10" s="600"/>
      <c r="AA10" s="600"/>
      <c r="AB10" s="600"/>
      <c r="AC10" s="600"/>
      <c r="AD10" s="600"/>
      <c r="AE10" s="600"/>
      <c r="AF10" s="600"/>
      <c r="AG10" s="600"/>
      <c r="AH10" s="600"/>
      <c r="AI10" s="600"/>
      <c r="AJ10" s="600"/>
      <c r="AK10" s="600"/>
      <c r="AL10" s="324"/>
      <c r="AM10" s="2255"/>
      <c r="AO10" s="1624"/>
      <c r="AP10" s="1624" t="str">
        <f>IF(T10="","",T10)</f>
        <v>Добавить вид теплоносителя (параметры теплоносителя)</v>
      </c>
      <c r="AQ10" s="1624"/>
      <c r="AR10" s="1624"/>
      <c r="AS10" s="1631">
        <v>0</v>
      </c>
    </row>
    <row customHeight="1" ht="15" hidden="1">
      <c r="A11" s="1267"/>
      <c r="B11" s="1267"/>
      <c r="C11" s="1267"/>
      <c r="D11" s="1267"/>
      <c r="E11" s="2290"/>
      <c r="F11" s="2290"/>
      <c r="G11" s="2290"/>
      <c r="H11" s="2290"/>
      <c r="I11" s="2127"/>
      <c r="J11" s="1267"/>
      <c r="K11" s="1267"/>
      <c r="L11" s="1310"/>
      <c r="M11" s="1635"/>
      <c r="P11" s="2257"/>
      <c r="Q11" s="1954"/>
      <c r="R11" s="356"/>
      <c r="S11" s="1278"/>
      <c r="T11" s="287" t="s">
        <v>414</v>
      </c>
      <c r="U11" s="600"/>
      <c r="V11" s="600"/>
      <c r="W11" s="600"/>
      <c r="X11" s="600"/>
      <c r="Y11" s="600"/>
      <c r="Z11" s="600"/>
      <c r="AA11" s="600"/>
      <c r="AB11" s="600"/>
      <c r="AC11" s="366"/>
      <c r="AD11" s="600"/>
      <c r="AE11" s="600"/>
      <c r="AF11" s="600"/>
      <c r="AG11" s="600"/>
      <c r="AH11" s="600"/>
      <c r="AI11" s="600"/>
      <c r="AJ11" s="600"/>
      <c r="AK11" s="366"/>
      <c r="AL11" s="600"/>
      <c r="AM11" s="303"/>
      <c r="AO11" s="1624"/>
      <c r="AP11" s="1624" t="str">
        <f>IF(T11="","",T11)</f>
        <v>Добавить группу потребителей</v>
      </c>
      <c r="AQ11" s="1624"/>
      <c r="AR11" s="1624"/>
      <c r="AS11" s="1631">
        <v>0</v>
      </c>
    </row>
    <row customHeight="1" ht="14.25" hidden="1">
      <c r="A12" s="1267"/>
      <c r="B12" s="1267"/>
      <c r="C12" s="1267"/>
      <c r="D12" s="1267"/>
      <c r="E12" s="2290"/>
      <c r="F12" s="2290"/>
      <c r="G12" s="2290"/>
      <c r="H12" s="2289"/>
      <c r="I12" s="1267"/>
      <c r="J12" s="1267"/>
      <c r="K12" s="1267"/>
      <c r="L12" s="1310"/>
      <c r="M12" s="1610"/>
      <c r="N12" s="1610"/>
      <c r="O12" s="1635"/>
      <c r="P12" s="360"/>
      <c r="Q12" s="375"/>
      <c r="R12" s="355"/>
      <c r="S12" s="1278"/>
      <c r="T12" s="365" t="s">
        <v>415</v>
      </c>
      <c r="U12" s="600"/>
      <c r="V12" s="600"/>
      <c r="W12" s="600"/>
      <c r="X12" s="600"/>
      <c r="Y12" s="600"/>
      <c r="Z12" s="600"/>
      <c r="AA12" s="600"/>
      <c r="AB12" s="600"/>
      <c r="AC12" s="366"/>
      <c r="AD12" s="600"/>
      <c r="AE12" s="600"/>
      <c r="AF12" s="600"/>
      <c r="AG12" s="600"/>
      <c r="AH12" s="600"/>
      <c r="AI12" s="600"/>
      <c r="AJ12" s="600"/>
      <c r="AK12" s="366"/>
      <c r="AL12" s="600"/>
      <c r="AM12" s="303"/>
      <c r="AO12" s="1624"/>
      <c r="AP12" s="1624" t="str">
        <f>IF(T12="","",T12)</f>
        <v>Добавить схему подключения</v>
      </c>
      <c r="AQ12" s="1624"/>
      <c r="AR12" s="1624"/>
      <c r="AS12" s="1631">
        <v>0</v>
      </c>
    </row>
    <row s="1642" customFormat="1" customHeight="1" ht="0.75" hidden="1">
      <c r="A13" s="1374"/>
      <c r="B13" s="1374"/>
      <c r="C13" s="1374"/>
      <c r="D13" s="1374"/>
      <c r="E13" s="2290"/>
      <c r="F13" s="2290"/>
      <c r="G13" s="2289"/>
      <c r="H13" s="1374"/>
      <c r="I13" s="1374"/>
      <c r="J13" s="1374"/>
      <c r="K13" s="1374"/>
      <c r="L13" s="1377"/>
      <c r="M13" s="1378"/>
      <c r="N13" s="1378"/>
      <c r="O13" s="351"/>
      <c r="P13" s="1316"/>
      <c r="Q13" s="1317"/>
      <c r="R13" s="1316"/>
      <c r="S13" s="1318"/>
      <c r="T13" s="1319" t="s">
        <v>416</v>
      </c>
      <c r="U13" s="1320"/>
      <c r="V13" s="1320"/>
      <c r="W13" s="1320"/>
      <c r="X13" s="1320"/>
      <c r="Y13" s="1320"/>
      <c r="Z13" s="1320"/>
      <c r="AA13" s="1320"/>
      <c r="AB13" s="1320"/>
      <c r="AC13" s="1320"/>
      <c r="AD13" s="1320"/>
      <c r="AE13" s="1320"/>
      <c r="AF13" s="1320"/>
      <c r="AG13" s="1320"/>
      <c r="AH13" s="1320"/>
      <c r="AI13" s="1320"/>
      <c r="AJ13" s="1320"/>
      <c r="AK13" s="1320"/>
      <c r="AL13" s="1320"/>
      <c r="AM13" s="1320"/>
      <c r="AO13" s="1251"/>
      <c r="AP13" s="1251" t="str">
        <f>IF(T13="","",T13)</f>
        <v>Добавить источник для дифференциации</v>
      </c>
      <c r="AQ13" s="1251"/>
      <c r="AR13" s="1251"/>
      <c r="AS13" s="1642">
        <v>0</v>
      </c>
    </row>
    <row s="1642" customFormat="1" customHeight="1" ht="0.75" hidden="1">
      <c r="A14" s="1374"/>
      <c r="B14" s="1374"/>
      <c r="C14" s="1374"/>
      <c r="D14" s="1374"/>
      <c r="E14" s="2290"/>
      <c r="F14" s="2289"/>
      <c r="G14" s="1374"/>
      <c r="H14" s="1374"/>
      <c r="I14" s="1374"/>
      <c r="J14" s="1374"/>
      <c r="K14" s="1374"/>
      <c r="L14" s="1377"/>
      <c r="M14" s="1379"/>
      <c r="N14" s="1379"/>
      <c r="O14" s="351"/>
      <c r="P14" s="1316"/>
      <c r="Q14" s="1317"/>
      <c r="R14" s="1316"/>
      <c r="S14" s="1322"/>
      <c r="T14" s="1323" t="s">
        <v>417</v>
      </c>
      <c r="U14" s="1324"/>
      <c r="V14" s="1324"/>
      <c r="W14" s="1324"/>
      <c r="X14" s="1324"/>
      <c r="Y14" s="1324"/>
      <c r="Z14" s="1324"/>
      <c r="AA14" s="1324"/>
      <c r="AB14" s="1324"/>
      <c r="AC14" s="1324"/>
      <c r="AD14" s="1324"/>
      <c r="AE14" s="1324"/>
      <c r="AF14" s="1324"/>
      <c r="AG14" s="1324"/>
      <c r="AH14" s="1324"/>
      <c r="AI14" s="1324"/>
      <c r="AJ14" s="1324"/>
      <c r="AK14" s="1324"/>
      <c r="AL14" s="1324"/>
      <c r="AM14" s="1324"/>
      <c r="AO14" s="1251"/>
      <c r="AP14" s="1251" t="str">
        <f>IF(T14="","",T14)</f>
        <v>Добавить централизованную систему для дифференциации</v>
      </c>
      <c r="AQ14" s="1251"/>
      <c r="AR14" s="1251"/>
      <c r="AS14" s="1642">
        <v>0</v>
      </c>
    </row>
    <row s="1642" customFormat="1" customHeight="1" ht="0.75" hidden="1">
      <c r="A15" s="1374"/>
      <c r="B15" s="1374"/>
      <c r="C15" s="1374"/>
      <c r="D15" s="1374"/>
      <c r="E15" s="2289"/>
      <c r="F15" s="1374"/>
      <c r="G15" s="1374"/>
      <c r="H15" s="1374"/>
      <c r="I15" s="1374"/>
      <c r="J15" s="1374"/>
      <c r="K15" s="1374"/>
      <c r="L15" s="1377"/>
      <c r="M15" s="1379"/>
      <c r="N15" s="1379"/>
      <c r="O15" s="351"/>
      <c r="P15" s="1316"/>
      <c r="Q15" s="1317"/>
      <c r="R15" s="1316"/>
      <c r="S15" s="1322"/>
      <c r="T15" s="1325" t="s">
        <v>418</v>
      </c>
      <c r="U15" s="1324"/>
      <c r="V15" s="1324"/>
      <c r="W15" s="1324"/>
      <c r="X15" s="1324"/>
      <c r="Y15" s="1324"/>
      <c r="Z15" s="1324"/>
      <c r="AA15" s="1324"/>
      <c r="AB15" s="1324"/>
      <c r="AC15" s="1324"/>
      <c r="AD15" s="1324"/>
      <c r="AE15" s="1324"/>
      <c r="AF15" s="1324"/>
      <c r="AG15" s="1324"/>
      <c r="AH15" s="1324"/>
      <c r="AI15" s="1324"/>
      <c r="AJ15" s="1324"/>
      <c r="AK15" s="1324"/>
      <c r="AL15" s="1324"/>
      <c r="AM15" s="1324"/>
      <c r="AO15" s="1251"/>
      <c r="AP15" s="1251" t="str">
        <f>IF(T15="","",T15)</f>
        <v>Добавить территорию для дифференциации</v>
      </c>
      <c r="AQ15" s="1251"/>
      <c r="AR15" s="1251"/>
      <c r="AS15" s="1642">
        <v>0</v>
      </c>
    </row>
    <row customHeight="1" ht="14.25" hidden="1">
      <c r="AS16" s="1631">
        <v>0</v>
      </c>
    </row>
    <row customHeight="1" ht="14.25" hidden="1">
      <c r="AD17" s="1360"/>
      <c r="AE17" s="1360"/>
      <c r="AF17" s="1360"/>
      <c r="AG17" s="1361"/>
      <c r="AH17" s="2267"/>
      <c r="AI17" s="2268" t="s">
        <v>66</v>
      </c>
      <c r="AJ17" s="2267"/>
      <c r="AK17" s="2268" t="s">
        <v>66</v>
      </c>
      <c r="AS17" s="1631">
        <v>0</v>
      </c>
    </row>
    <row customHeight="1" ht="14.25" hidden="1">
      <c r="AD18" s="1360"/>
      <c r="AE18" s="1360"/>
      <c r="AF18" s="1360"/>
      <c r="AG18" s="328" t="str">
        <f>AH17&amp;"-"&amp;AJ17</f>
        <v>-</v>
      </c>
      <c r="AH18" s="2268"/>
      <c r="AI18" s="2268"/>
      <c r="AJ18" s="2268"/>
      <c r="AK18" s="2268"/>
      <c r="AS18" s="1631">
        <v>0</v>
      </c>
    </row>
    <row customHeight="1" ht="14.25" hidden="1">
      <c r="AS19" s="1631">
        <v>0</v>
      </c>
    </row>
    <row s="1366" customFormat="1" customHeight="1" ht="14.25" hidden="1">
      <c r="A20" s="1631"/>
      <c r="B20" s="1631"/>
      <c r="C20" s="1631"/>
      <c r="D20" s="1631"/>
      <c r="E20" s="1631"/>
      <c r="F20" s="1631"/>
      <c r="G20" s="1631"/>
      <c r="H20" s="1631"/>
      <c r="I20" s="1631"/>
      <c r="J20" s="1631"/>
      <c r="K20" s="1631"/>
      <c r="L20" s="1939"/>
      <c r="M20" s="1965"/>
      <c r="N20" s="1965"/>
      <c r="O20" s="1345" t="s">
        <v>419</v>
      </c>
      <c r="P20" s="1362"/>
      <c r="Q20" s="1371"/>
      <c r="R20" s="1371"/>
      <c r="S20" s="729"/>
      <c r="Z20" s="1367"/>
      <c r="AB20" s="1367"/>
      <c r="AH20" s="1367"/>
      <c r="AJ20" s="1367"/>
      <c r="AN20" s="1636"/>
      <c r="AO20" s="1636"/>
      <c r="AP20" s="1636"/>
      <c r="AQ20" s="1636"/>
      <c r="AR20" s="1636"/>
      <c r="AS20" s="1366">
        <v>0</v>
      </c>
    </row>
    <row s="1366" customFormat="1" customHeight="1" ht="14.25" hidden="1">
      <c r="A21" s="1631"/>
      <c r="B21" s="1631"/>
      <c r="C21" s="1631"/>
      <c r="D21" s="1631"/>
      <c r="E21" s="1631"/>
      <c r="F21" s="1631"/>
      <c r="G21" s="1631"/>
      <c r="H21" s="1631"/>
      <c r="I21" s="1631"/>
      <c r="J21" s="1631"/>
      <c r="K21" s="1631"/>
      <c r="L21" s="1939"/>
      <c r="M21" s="1965"/>
      <c r="N21" s="1965"/>
      <c r="O21" s="1965"/>
      <c r="P21" s="1362"/>
      <c r="Q21" s="1371"/>
      <c r="R21" s="1371"/>
      <c r="S21" s="729"/>
      <c r="AN21" s="1636"/>
      <c r="AO21" s="1636"/>
      <c r="AP21" s="1636"/>
      <c r="AQ21" s="1636"/>
      <c r="AR21" s="1636"/>
      <c r="AS21" s="1366">
        <v>0</v>
      </c>
    </row>
    <row s="1366" customFormat="1" customHeight="1" ht="14.25" hidden="1">
      <c r="A22" s="1631"/>
      <c r="B22" s="1631"/>
      <c r="C22" s="1631"/>
      <c r="D22" s="1631"/>
      <c r="E22" s="1631"/>
      <c r="F22" s="1631"/>
      <c r="G22" s="1631"/>
      <c r="H22" s="1631"/>
      <c r="I22" s="1631"/>
      <c r="J22" s="1631"/>
      <c r="K22" s="1631"/>
      <c r="L22" s="1939"/>
      <c r="M22" s="1965"/>
      <c r="N22" s="1965"/>
      <c r="O22" s="1310" t="s">
        <v>420</v>
      </c>
      <c r="P22" s="1362"/>
      <c r="Q22" s="1371"/>
      <c r="R22" s="1371"/>
      <c r="S22" s="729"/>
      <c r="T22" s="1366" t="s">
        <v>421</v>
      </c>
      <c r="AA22" s="595" t="s">
        <v>422</v>
      </c>
      <c r="AC22" s="595" t="s">
        <v>423</v>
      </c>
      <c r="AD22" s="1366" t="s">
        <v>421</v>
      </c>
      <c r="AI22" s="595" t="s">
        <v>424</v>
      </c>
      <c r="AK22" s="595" t="s">
        <v>423</v>
      </c>
      <c r="AN22" s="1636"/>
      <c r="AO22" s="1636"/>
      <c r="AP22" s="1636"/>
      <c r="AQ22" s="1636"/>
      <c r="AR22" s="1636"/>
      <c r="AS22" s="1366">
        <v>0</v>
      </c>
    </row>
    <row customHeight="1" ht="14.25" hidden="1">
      <c r="O23" s="1310"/>
      <c r="AS23" s="1631">
        <v>0</v>
      </c>
    </row>
    <row customHeight="1" ht="14.25" hidden="1">
      <c r="O24" s="1310"/>
      <c r="AS24" s="1631">
        <v>0</v>
      </c>
    </row>
    <row customHeight="1" ht="14.699999999999998">
      <c r="Q25" s="376"/>
      <c r="R25" s="376"/>
      <c r="S25" s="1275"/>
      <c r="T25" s="457"/>
      <c r="U25" s="457"/>
      <c r="V25" s="1635"/>
      <c r="W25" s="1635"/>
      <c r="X25" s="1635"/>
      <c r="Y25" s="1635"/>
      <c r="Z25" s="1635"/>
      <c r="AA25" s="1635"/>
      <c r="AB25" s="1635"/>
      <c r="AC25" s="1635"/>
      <c r="AD25" s="1635"/>
      <c r="AE25" s="1635"/>
      <c r="AF25" s="1635"/>
      <c r="AG25" s="1635"/>
      <c r="AH25" s="1635"/>
      <c r="AI25" s="1635"/>
      <c r="AJ25" s="1635"/>
      <c r="AK25" s="1635"/>
      <c r="AS25" s="1631">
        <v>14</v>
      </c>
    </row>
    <row customHeight="1" ht="14.699999999999998">
      <c r="Q26" s="376"/>
      <c r="R26" s="376"/>
      <c r="S26" s="2248"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248"/>
      <c r="U26" s="2248"/>
      <c r="V26" s="2248"/>
      <c r="W26" s="2248"/>
      <c r="X26" s="2248"/>
      <c r="Y26" s="2248"/>
      <c r="Z26" s="2248"/>
      <c r="AA26" s="2248"/>
      <c r="AB26" s="2248"/>
      <c r="AC26" s="2248"/>
      <c r="AD26" s="2248"/>
      <c r="AE26" s="2248"/>
      <c r="AF26" s="2248"/>
      <c r="AG26" s="2248"/>
      <c r="AH26" s="2248"/>
      <c r="AI26" s="2248"/>
      <c r="AJ26" s="2248"/>
      <c r="AK26" s="1243"/>
      <c r="AS26" s="1631">
        <v>14</v>
      </c>
    </row>
    <row customHeight="1" ht="14.699999999999998">
      <c r="Q27" s="376"/>
      <c r="R27" s="376"/>
      <c r="S27" s="2249" t="str">
        <f>IF(org=0,"Не определено",org)</f>
        <v>ПАО "ОГК-2"</v>
      </c>
      <c r="T27" s="2249"/>
      <c r="U27" s="2249"/>
      <c r="V27" s="2249"/>
      <c r="W27" s="2249"/>
      <c r="X27" s="2249"/>
      <c r="Y27" s="2249"/>
      <c r="Z27" s="2249"/>
      <c r="AA27" s="2249"/>
      <c r="AB27" s="2249"/>
      <c r="AC27" s="2249"/>
      <c r="AD27" s="2249"/>
      <c r="AE27" s="2249"/>
      <c r="AF27" s="2249"/>
      <c r="AG27" s="2249"/>
      <c r="AH27" s="2249"/>
      <c r="AI27" s="2249"/>
      <c r="AJ27" s="2249"/>
      <c r="AK27" s="1243"/>
      <c r="AS27" s="1631">
        <v>14</v>
      </c>
    </row>
    <row customHeight="1" ht="14.25" hidden="1">
      <c r="Q28" s="376"/>
      <c r="R28" s="376"/>
      <c r="S28" s="1275"/>
      <c r="T28" s="457"/>
      <c r="U28" s="457"/>
      <c r="V28" s="322"/>
      <c r="W28" s="322"/>
      <c r="X28" s="322"/>
      <c r="Y28" s="322"/>
      <c r="Z28" s="322"/>
      <c r="AA28" s="322"/>
      <c r="AB28" s="322"/>
      <c r="AC28" s="322"/>
      <c r="AD28" s="322"/>
      <c r="AE28" s="322"/>
      <c r="AF28" s="322"/>
      <c r="AG28" s="322"/>
      <c r="AH28" s="322"/>
      <c r="AI28" s="322"/>
      <c r="AJ28" s="322"/>
      <c r="AK28" s="322"/>
      <c r="AL28" s="1635"/>
      <c r="AS28" s="1631">
        <v>0</v>
      </c>
    </row>
    <row s="1853" customFormat="1" customHeight="1" ht="25.5" hidden="1">
      <c r="A29" s="1248"/>
      <c r="B29" s="1248"/>
      <c r="C29" s="1248"/>
      <c r="D29" s="1248"/>
      <c r="E29" s="1248"/>
      <c r="F29" s="1248"/>
      <c r="G29" s="1248"/>
      <c r="H29" s="1248"/>
      <c r="I29" s="1248"/>
      <c r="J29" s="1248"/>
      <c r="K29" s="1248"/>
      <c r="L29" s="1380"/>
      <c r="M29" s="1248"/>
      <c r="N29" s="1248"/>
      <c r="O29" s="1248"/>
      <c r="S29" s="2250" t="s">
        <v>42</v>
      </c>
      <c r="T29" s="2250"/>
      <c r="U29" s="1372"/>
      <c r="V29" s="2251" t="str">
        <f>IF(TITLE_NAME_OR_PR_CHANGE="",IF(TITLE_NAME_OR_PR="","",TITLE_NAME_OR_PR),TITLE_NAME_OR_PR_CHANGE)</f>
        <v/>
      </c>
      <c r="W29" s="2251"/>
      <c r="X29" s="2251"/>
      <c r="Y29" s="2251"/>
      <c r="Z29" s="2251"/>
      <c r="AA29" s="2251"/>
      <c r="AB29" s="2251"/>
      <c r="AC29" s="1635"/>
      <c r="AD29" s="2251" t="str">
        <f>IF(TITLE_NAME_OR_PR_CHANGE="",IF(TITLE_NAME_OR_PR="","",TITLE_NAME_OR_PR),TITLE_NAME_OR_PR_CHANGE)</f>
        <v/>
      </c>
      <c r="AE29" s="2251"/>
      <c r="AF29" s="2251"/>
      <c r="AG29" s="2251"/>
      <c r="AH29" s="2251"/>
      <c r="AI29" s="2251"/>
      <c r="AJ29" s="2251"/>
      <c r="AK29" s="1635"/>
      <c r="AL29" s="1635"/>
      <c r="AM29" s="280"/>
      <c r="AN29" s="368"/>
      <c r="AO29" s="368"/>
      <c r="AP29" s="368"/>
      <c r="AQ29" s="368"/>
      <c r="AR29" s="368"/>
      <c r="AS29" s="418">
        <v>0</v>
      </c>
    </row>
    <row s="1853" customFormat="1" customHeight="1" ht="18.75" hidden="1">
      <c r="A30" s="1248"/>
      <c r="B30" s="1248"/>
      <c r="C30" s="1248"/>
      <c r="D30" s="1248"/>
      <c r="E30" s="1248"/>
      <c r="F30" s="1248"/>
      <c r="G30" s="1248"/>
      <c r="H30" s="1248"/>
      <c r="I30" s="1248"/>
      <c r="J30" s="1248"/>
      <c r="K30" s="1248"/>
      <c r="L30" s="1380"/>
      <c r="M30" s="1248"/>
      <c r="N30" s="1248"/>
      <c r="O30" s="1248"/>
      <c r="S30" s="2250" t="s">
        <v>425</v>
      </c>
      <c r="T30" s="2250"/>
      <c r="U30" s="1372"/>
      <c r="V30" s="2264" t="str">
        <f>IF(TITLE_DATE_PR_CHANGE="",IF(TITLE_DATE_PR="","",TITLE_DATE_PR),TITLE_DATE_PR_CHANGE)</f>
        <v/>
      </c>
      <c r="W30" s="2264"/>
      <c r="X30" s="2264"/>
      <c r="Y30" s="2264"/>
      <c r="Z30" s="2264"/>
      <c r="AA30" s="2264"/>
      <c r="AB30" s="2264"/>
      <c r="AC30" s="1635"/>
      <c r="AD30" s="2264" t="str">
        <f>IF(TITLE_DATE_PR_CHANGE="",IF(TITLE_DATE_PR="","",TITLE_DATE_PR),TITLE_DATE_PR_CHANGE)</f>
        <v/>
      </c>
      <c r="AE30" s="2264"/>
      <c r="AF30" s="2264"/>
      <c r="AG30" s="2264"/>
      <c r="AH30" s="2264"/>
      <c r="AI30" s="2264"/>
      <c r="AJ30" s="2264"/>
      <c r="AK30" s="1635"/>
      <c r="AL30" s="1635"/>
      <c r="AM30" s="280"/>
      <c r="AN30" s="368"/>
      <c r="AO30" s="368"/>
      <c r="AP30" s="368"/>
      <c r="AQ30" s="368"/>
      <c r="AR30" s="368"/>
      <c r="AS30" s="418">
        <v>0</v>
      </c>
    </row>
    <row s="1853" customFormat="1" customHeight="1" ht="18.75" hidden="1">
      <c r="A31" s="1248"/>
      <c r="B31" s="1248"/>
      <c r="C31" s="1248"/>
      <c r="D31" s="1248"/>
      <c r="E31" s="1248"/>
      <c r="F31" s="1248"/>
      <c r="G31" s="1248"/>
      <c r="H31" s="1248"/>
      <c r="I31" s="1248"/>
      <c r="J31" s="1248"/>
      <c r="K31" s="1248"/>
      <c r="L31" s="1380"/>
      <c r="M31" s="1248"/>
      <c r="N31" s="1248"/>
      <c r="O31" s="1248"/>
      <c r="S31" s="2250" t="s">
        <v>426</v>
      </c>
      <c r="T31" s="2250"/>
      <c r="U31" s="1372"/>
      <c r="V31" s="2251" t="str">
        <f>IF(TITLE_NUMBER_PR_CHANGE="",IF(TITLE_NUMBER_PR="","",TITLE_NUMBER_PR),TITLE_NUMBER_PR_CHANGE)</f>
        <v/>
      </c>
      <c r="W31" s="2251"/>
      <c r="X31" s="2251"/>
      <c r="Y31" s="2251"/>
      <c r="Z31" s="2251"/>
      <c r="AA31" s="2251"/>
      <c r="AB31" s="2251"/>
      <c r="AC31" s="1635"/>
      <c r="AD31" s="2251" t="str">
        <f>IF(TITLE_NUMBER_PR_CHANGE="",IF(TITLE_NUMBER_PR="","",TITLE_NUMBER_PR),TITLE_NUMBER_PR_CHANGE)</f>
        <v/>
      </c>
      <c r="AE31" s="2251"/>
      <c r="AF31" s="2251"/>
      <c r="AG31" s="2251"/>
      <c r="AH31" s="2251"/>
      <c r="AI31" s="2251"/>
      <c r="AJ31" s="2251"/>
      <c r="AK31" s="1635"/>
      <c r="AL31" s="1635"/>
      <c r="AM31" s="280"/>
      <c r="AN31" s="368"/>
      <c r="AO31" s="368"/>
      <c r="AP31" s="368"/>
      <c r="AQ31" s="368"/>
      <c r="AR31" s="368"/>
      <c r="AS31" s="418">
        <v>0</v>
      </c>
    </row>
    <row s="1853" customFormat="1" customHeight="1" ht="18.75" hidden="1">
      <c r="A32" s="1248"/>
      <c r="B32" s="1248"/>
      <c r="C32" s="1248"/>
      <c r="D32" s="1248"/>
      <c r="E32" s="1248"/>
      <c r="F32" s="1248"/>
      <c r="G32" s="1248"/>
      <c r="H32" s="1248"/>
      <c r="I32" s="1248"/>
      <c r="J32" s="1248"/>
      <c r="K32" s="1248"/>
      <c r="L32" s="1380"/>
      <c r="M32" s="1248"/>
      <c r="N32" s="1248"/>
      <c r="O32" s="1248"/>
      <c r="S32" s="2250" t="s">
        <v>43</v>
      </c>
      <c r="T32" s="2250"/>
      <c r="U32" s="1372"/>
      <c r="V32" s="2251" t="str">
        <f>IF(TITLE_IST_PUB_CHANGE="",IF(TITLE_IST_PUB="","",TITLE_IST_PUB),TITLE_IST_PUB_CHANGE)</f>
        <v/>
      </c>
      <c r="W32" s="2251"/>
      <c r="X32" s="2251"/>
      <c r="Y32" s="2251"/>
      <c r="Z32" s="2251"/>
      <c r="AA32" s="2251"/>
      <c r="AB32" s="2251"/>
      <c r="AC32" s="1635"/>
      <c r="AD32" s="2251" t="str">
        <f>IF(TITLE_IST_PUB_CHANGE="",IF(TITLE_IST_PUB="","",TITLE_IST_PUB),TITLE_IST_PUB_CHANGE)</f>
        <v/>
      </c>
      <c r="AE32" s="2251"/>
      <c r="AF32" s="2251"/>
      <c r="AG32" s="2251"/>
      <c r="AH32" s="2251"/>
      <c r="AI32" s="2251"/>
      <c r="AJ32" s="2251"/>
      <c r="AK32" s="1635"/>
      <c r="AL32" s="1635"/>
      <c r="AM32" s="280"/>
      <c r="AN32" s="368"/>
      <c r="AO32" s="368"/>
      <c r="AP32" s="368"/>
      <c r="AQ32" s="368"/>
      <c r="AR32" s="368"/>
      <c r="AS32" s="418">
        <v>0</v>
      </c>
    </row>
    <row customHeight="1" ht="14.25" hidden="1">
      <c r="Q33" s="376"/>
      <c r="R33" s="376"/>
      <c r="S33" s="1275"/>
      <c r="T33" s="457"/>
      <c r="U33" s="457"/>
      <c r="V33" s="322"/>
      <c r="W33" s="322"/>
      <c r="X33" s="322"/>
      <c r="Y33" s="322"/>
      <c r="Z33" s="322"/>
      <c r="AA33" s="322"/>
      <c r="AB33" s="322"/>
      <c r="AC33" s="322"/>
      <c r="AD33" s="322"/>
      <c r="AE33" s="322"/>
      <c r="AF33" s="322"/>
      <c r="AG33" s="322"/>
      <c r="AH33" s="322"/>
      <c r="AI33" s="322"/>
      <c r="AJ33" s="322"/>
      <c r="AK33" s="322"/>
      <c r="AL33" s="1635"/>
      <c r="AS33" s="1631">
        <v>0</v>
      </c>
    </row>
    <row s="1853" customFormat="1" customHeight="1" ht="18.75" hidden="1">
      <c r="A34" s="1248"/>
      <c r="B34" s="1248"/>
      <c r="C34" s="1248"/>
      <c r="D34" s="1248"/>
      <c r="E34" s="1248"/>
      <c r="F34" s="1248"/>
      <c r="G34" s="1248"/>
      <c r="H34" s="1248"/>
      <c r="I34" s="1248"/>
      <c r="J34" s="1248"/>
      <c r="K34" s="1248"/>
      <c r="L34" s="1380"/>
      <c r="M34" s="1248"/>
      <c r="N34" s="1248"/>
      <c r="O34" s="1248"/>
      <c r="S34" s="2250" t="s">
        <v>427</v>
      </c>
      <c r="T34" s="2250"/>
      <c r="U34" s="1372"/>
      <c r="V34" s="2264" t="str">
        <f>IF(TITLE_DATE_PR_CHANGE="",IF(TITLE_DATE_PR="","",TITLE_DATE_PR),TITLE_DATE_PR_CHANGE)</f>
        <v/>
      </c>
      <c r="W34" s="2264"/>
      <c r="X34" s="2264"/>
      <c r="Y34" s="2264"/>
      <c r="Z34" s="2264"/>
      <c r="AA34" s="2264"/>
      <c r="AB34" s="2264"/>
      <c r="AC34" s="1635"/>
      <c r="AD34" s="2264" t="str">
        <f>IF(TITLE_DATE_PR_CHANGE="",IF(TITLE_DATE_PR="","",TITLE_DATE_PR),TITLE_DATE_PR_CHANGE)</f>
        <v/>
      </c>
      <c r="AE34" s="2264"/>
      <c r="AF34" s="2264"/>
      <c r="AG34" s="2264"/>
      <c r="AH34" s="2264"/>
      <c r="AI34" s="2264"/>
      <c r="AJ34" s="2264"/>
      <c r="AK34" s="1635"/>
      <c r="AL34" s="1635"/>
      <c r="AM34" s="280"/>
      <c r="AN34" s="368"/>
      <c r="AO34" s="368"/>
      <c r="AP34" s="368"/>
      <c r="AQ34" s="368"/>
      <c r="AR34" s="368"/>
      <c r="AS34" s="418">
        <v>0</v>
      </c>
    </row>
    <row s="1853" customFormat="1" customHeight="1" ht="18.75" hidden="1">
      <c r="A35" s="1248"/>
      <c r="B35" s="1248"/>
      <c r="C35" s="1248"/>
      <c r="D35" s="1248"/>
      <c r="E35" s="1248"/>
      <c r="F35" s="1248"/>
      <c r="G35" s="1248"/>
      <c r="H35" s="1248"/>
      <c r="I35" s="1248"/>
      <c r="J35" s="1248"/>
      <c r="K35" s="1248"/>
      <c r="L35" s="1380"/>
      <c r="M35" s="1248"/>
      <c r="N35" s="1248"/>
      <c r="O35" s="1248"/>
      <c r="S35" s="2250" t="s">
        <v>428</v>
      </c>
      <c r="T35" s="2250"/>
      <c r="U35" s="1372"/>
      <c r="V35" s="2251" t="str">
        <f>IF(TITLE_NUMBER_PR_CHANGE="",IF(TITLE_NUMBER_PR="","",TITLE_NUMBER_PR),TITLE_NUMBER_PR_CHANGE)</f>
        <v/>
      </c>
      <c r="W35" s="2251"/>
      <c r="X35" s="2251"/>
      <c r="Y35" s="2251"/>
      <c r="Z35" s="2251"/>
      <c r="AA35" s="2251"/>
      <c r="AB35" s="2251"/>
      <c r="AC35" s="1635"/>
      <c r="AD35" s="2251" t="str">
        <f>IF(TITLE_NUMBER_PR_CHANGE="",IF(TITLE_NUMBER_PR="","",TITLE_NUMBER_PR),TITLE_NUMBER_PR_CHANGE)</f>
        <v/>
      </c>
      <c r="AE35" s="2251"/>
      <c r="AF35" s="2251"/>
      <c r="AG35" s="2251"/>
      <c r="AH35" s="2251"/>
      <c r="AI35" s="2251"/>
      <c r="AJ35" s="2251"/>
      <c r="AK35" s="1635"/>
      <c r="AL35" s="1635"/>
      <c r="AM35" s="280"/>
      <c r="AN35" s="368"/>
      <c r="AO35" s="368"/>
      <c r="AP35" s="368"/>
      <c r="AQ35" s="368"/>
      <c r="AR35" s="368"/>
      <c r="AS35" s="418">
        <v>0</v>
      </c>
    </row>
    <row s="1853" customFormat="1" customHeight="1" ht="0">
      <c r="A36" s="1248"/>
      <c r="B36" s="1248"/>
      <c r="C36" s="1248"/>
      <c r="D36" s="1248"/>
      <c r="E36" s="1248"/>
      <c r="F36" s="1248"/>
      <c r="G36" s="1248"/>
      <c r="H36" s="1248"/>
      <c r="I36" s="1248"/>
      <c r="J36" s="1248"/>
      <c r="K36" s="1248"/>
      <c r="L36" s="1380"/>
      <c r="M36" s="1248"/>
      <c r="N36" s="1248"/>
      <c r="O36" s="1248"/>
      <c r="S36" s="1635"/>
      <c r="T36" s="1635"/>
      <c r="U36" s="1970"/>
      <c r="V36" s="1635"/>
      <c r="W36" s="1635"/>
      <c r="X36" s="1635"/>
      <c r="Y36" s="1635"/>
      <c r="Z36" s="1635"/>
      <c r="AA36" s="1635"/>
      <c r="AB36" s="1635"/>
      <c r="AC36" s="1642" t="s">
        <v>429</v>
      </c>
      <c r="AD36" s="1635"/>
      <c r="AE36" s="1635"/>
      <c r="AF36" s="1635"/>
      <c r="AG36" s="1635"/>
      <c r="AH36" s="1635"/>
      <c r="AI36" s="1635"/>
      <c r="AJ36" s="1635"/>
      <c r="AK36" s="1642" t="s">
        <v>429</v>
      </c>
      <c r="AN36" s="368"/>
      <c r="AO36" s="368"/>
      <c r="AP36" s="368"/>
      <c r="AQ36" s="368"/>
      <c r="AR36" s="368"/>
      <c r="AS36" s="418">
        <v>0</v>
      </c>
    </row>
    <row customHeight="1" ht="14.699999999999998">
      <c r="Q37" s="376"/>
      <c r="R37" s="376"/>
      <c r="S37" s="1275"/>
      <c r="T37" s="457"/>
      <c r="U37" s="1244"/>
      <c r="V37" s="2252"/>
      <c r="W37" s="2252"/>
      <c r="X37" s="2252"/>
      <c r="Y37" s="2252"/>
      <c r="Z37" s="2252"/>
      <c r="AA37" s="2252"/>
      <c r="AB37" s="2252"/>
      <c r="AC37" s="2252"/>
      <c r="AD37" s="2252"/>
      <c r="AE37" s="2252"/>
      <c r="AF37" s="2252"/>
      <c r="AG37" s="2252"/>
      <c r="AH37" s="2252"/>
      <c r="AI37" s="2252"/>
      <c r="AJ37" s="2252"/>
      <c r="AK37" s="2252"/>
      <c r="AS37" s="1631">
        <v>14</v>
      </c>
    </row>
    <row customHeight="1" ht="14.699999999999998">
      <c r="Q38" s="376"/>
      <c r="R38" s="376"/>
      <c r="S38" s="2127" t="s">
        <v>302</v>
      </c>
      <c r="T38" s="2127"/>
      <c r="U38" s="2127"/>
      <c r="V38" s="2127"/>
      <c r="W38" s="2127"/>
      <c r="X38" s="2127"/>
      <c r="Y38" s="2127"/>
      <c r="Z38" s="2127"/>
      <c r="AA38" s="2127"/>
      <c r="AB38" s="2127"/>
      <c r="AC38" s="2127"/>
      <c r="AD38" s="2127"/>
      <c r="AE38" s="2127"/>
      <c r="AF38" s="2127"/>
      <c r="AG38" s="2127"/>
      <c r="AH38" s="2127"/>
      <c r="AI38" s="2127"/>
      <c r="AJ38" s="2127"/>
      <c r="AK38" s="2127"/>
      <c r="AL38" s="2127"/>
      <c r="AM38" s="2127" t="s">
        <v>303</v>
      </c>
      <c r="AS38" s="1631">
        <v>14</v>
      </c>
    </row>
    <row customHeight="1" ht="14.699999999999998">
      <c r="Q39" s="376"/>
      <c r="R39" s="376"/>
      <c r="S39" s="2273" t="s">
        <v>88</v>
      </c>
      <c r="T39" s="2209" t="s">
        <v>430</v>
      </c>
      <c r="U39" s="337"/>
      <c r="V39" s="2274" t="s">
        <v>431</v>
      </c>
      <c r="W39" s="2275"/>
      <c r="X39" s="2275"/>
      <c r="Y39" s="2275"/>
      <c r="Z39" s="2275"/>
      <c r="AA39" s="2275"/>
      <c r="AB39" s="2276"/>
      <c r="AC39" s="2277" t="s">
        <v>432</v>
      </c>
      <c r="AD39" s="2274" t="s">
        <v>431</v>
      </c>
      <c r="AE39" s="2275"/>
      <c r="AF39" s="2275"/>
      <c r="AG39" s="2275"/>
      <c r="AH39" s="2275"/>
      <c r="AI39" s="2275"/>
      <c r="AJ39" s="2276"/>
      <c r="AK39" s="2277" t="s">
        <v>433</v>
      </c>
      <c r="AL39" s="2280" t="s">
        <v>434</v>
      </c>
      <c r="AM39" s="2127"/>
      <c r="AS39" s="1631">
        <v>14</v>
      </c>
    </row>
    <row customHeight="1" ht="35.699999999999996">
      <c r="Q40" s="376"/>
      <c r="R40" s="376"/>
      <c r="S40" s="2273"/>
      <c r="T40" s="2209"/>
      <c r="U40" s="1031"/>
      <c r="V40" s="2260" t="s">
        <v>435</v>
      </c>
      <c r="W40" s="2283" t="s">
        <v>436</v>
      </c>
      <c r="X40" s="2262" t="s">
        <v>437</v>
      </c>
      <c r="Y40" s="2263"/>
      <c r="Z40" s="2262" t="s">
        <v>451</v>
      </c>
      <c r="AA40" s="2269"/>
      <c r="AB40" s="2263"/>
      <c r="AC40" s="2278"/>
      <c r="AD40" s="2260" t="s">
        <v>435</v>
      </c>
      <c r="AE40" s="2283" t="s">
        <v>436</v>
      </c>
      <c r="AF40" s="2262" t="s">
        <v>437</v>
      </c>
      <c r="AG40" s="2263"/>
      <c r="AH40" s="2262" t="s">
        <v>438</v>
      </c>
      <c r="AI40" s="2269"/>
      <c r="AJ40" s="2263"/>
      <c r="AK40" s="2278"/>
      <c r="AL40" s="2281"/>
      <c r="AM40" s="2127"/>
      <c r="AS40" s="1631">
        <v>34</v>
      </c>
    </row>
    <row customHeight="1" ht="35.699999999999996">
      <c r="A41" s="1266"/>
      <c r="B41" s="1266" t="s">
        <v>139</v>
      </c>
      <c r="C41" s="1266" t="s">
        <v>140</v>
      </c>
      <c r="D41" s="1266" t="s">
        <v>141</v>
      </c>
      <c r="E41" s="1310" t="s">
        <v>439</v>
      </c>
      <c r="F41" s="1310" t="s">
        <v>440</v>
      </c>
      <c r="G41" s="1310" t="s">
        <v>441</v>
      </c>
      <c r="H41" s="1310" t="s">
        <v>442</v>
      </c>
      <c r="I41" s="1310" t="s">
        <v>443</v>
      </c>
      <c r="J41" s="1310" t="s">
        <v>444</v>
      </c>
      <c r="K41" s="1310" t="s">
        <v>445</v>
      </c>
      <c r="L41" s="1310" t="s">
        <v>420</v>
      </c>
      <c r="Q41" s="376"/>
      <c r="R41" s="376"/>
      <c r="S41" s="2273"/>
      <c r="T41" s="2209"/>
      <c r="U41" s="302"/>
      <c r="V41" s="2261"/>
      <c r="W41" s="2284"/>
      <c r="X41" s="1938" t="s">
        <v>446</v>
      </c>
      <c r="Y41" s="1938" t="s">
        <v>447</v>
      </c>
      <c r="Z41" s="1938" t="s">
        <v>448</v>
      </c>
      <c r="AA41" s="2270" t="s">
        <v>449</v>
      </c>
      <c r="AB41" s="2271"/>
      <c r="AC41" s="2279"/>
      <c r="AD41" s="2261"/>
      <c r="AE41" s="2284"/>
      <c r="AF41" s="1938" t="s">
        <v>446</v>
      </c>
      <c r="AG41" s="1938" t="s">
        <v>447</v>
      </c>
      <c r="AH41" s="1938" t="s">
        <v>448</v>
      </c>
      <c r="AI41" s="2270" t="s">
        <v>449</v>
      </c>
      <c r="AJ41" s="2271"/>
      <c r="AK41" s="2279"/>
      <c r="AL41" s="2282"/>
      <c r="AM41" s="2127"/>
      <c r="AS41" s="1631">
        <v>34</v>
      </c>
    </row>
    <row s="1641" customFormat="1" customHeight="1" ht="11.25" hidden="1">
      <c r="A42" s="1266"/>
      <c r="B42" s="1266"/>
      <c r="C42" s="1266"/>
      <c r="D42" s="1266"/>
      <c r="E42" s="1266"/>
      <c r="F42" s="1266"/>
      <c r="G42" s="1266"/>
      <c r="H42" s="1266"/>
      <c r="I42" s="1266"/>
      <c r="J42" s="1266"/>
      <c r="K42" s="1266"/>
      <c r="L42" s="1310"/>
      <c r="M42" s="1965"/>
      <c r="N42" s="1965"/>
      <c r="O42" s="1965"/>
      <c r="P42" s="1246"/>
      <c r="Q42" s="1247"/>
      <c r="R42" s="1254">
        <v>1</v>
      </c>
      <c r="S42" s="1277" t="s">
        <v>109</v>
      </c>
      <c r="T42" s="1255" t="s">
        <v>110</v>
      </c>
      <c r="U42" s="1245" t="str">
        <f>OFFSET(U42,0,-1)</f>
        <v>2</v>
      </c>
      <c r="V42" s="1956">
        <f>OFFSET(V42,0,-1)+1</f>
        <v>3</v>
      </c>
      <c r="W42" s="1956"/>
      <c r="X42" s="1956">
        <f>OFFSET(X42,0,-1)+1</f>
        <v>1</v>
      </c>
      <c r="Y42" s="1956">
        <f>OFFSET(Y42,0,-1)+1</f>
        <v>2</v>
      </c>
      <c r="Z42" s="1956">
        <f>OFFSET(Z42,0,-1)+1</f>
        <v>3</v>
      </c>
      <c r="AA42" s="2272">
        <f>OFFSET(AA42,0,-1)+1</f>
        <v>4</v>
      </c>
      <c r="AB42" s="2272"/>
      <c r="AC42" s="1956">
        <f>OFFSET(AC42,0,-2)+1</f>
        <v>5</v>
      </c>
      <c r="AD42" s="1956">
        <f>OFFSET(AD42,0,-1)+1</f>
        <v>6</v>
      </c>
      <c r="AE42" s="1956"/>
      <c r="AF42" s="1956">
        <f>OFFSET(AF42,0,-1)+1</f>
        <v>1</v>
      </c>
      <c r="AG42" s="1956">
        <f>OFFSET(AG42,0,-1)+1</f>
        <v>2</v>
      </c>
      <c r="AH42" s="1956">
        <f>OFFSET(AH42,0,-1)+1</f>
        <v>3</v>
      </c>
      <c r="AI42" s="2272">
        <f>OFFSET(AI42,0,-1)+1</f>
        <v>4</v>
      </c>
      <c r="AJ42" s="2272"/>
      <c r="AK42" s="1956">
        <f>OFFSET(AK42,0,-2)+1</f>
        <v>5</v>
      </c>
      <c r="AL42" s="1245">
        <f>OFFSET(AL42,0,-1)</f>
        <v>5</v>
      </c>
      <c r="AM42" s="1956">
        <f>OFFSET(AM42,0,-1)+1</f>
        <v>6</v>
      </c>
      <c r="AN42" s="1636"/>
      <c r="AO42" s="1636"/>
      <c r="AP42" s="1636"/>
      <c r="AQ42" s="1636"/>
      <c r="AR42" s="1636"/>
      <c r="AS42" s="1641">
        <v>0</v>
      </c>
    </row>
    <row customHeight="1" ht="22.049999999999997">
      <c r="A43" s="1267" t="s">
        <v>214</v>
      </c>
      <c r="B43" s="1267"/>
      <c r="C43" s="1267"/>
      <c r="D43" s="1267"/>
      <c r="E43" s="2289">
        <v>1</v>
      </c>
      <c r="F43" s="1267"/>
      <c r="G43" s="1267"/>
      <c r="H43" s="1267"/>
      <c r="I43" s="1267"/>
      <c r="J43" s="1267"/>
      <c r="K43" s="1267"/>
      <c r="L43" s="1310"/>
      <c r="M43" s="1610"/>
      <c r="N43" s="1610"/>
      <c r="O43" s="1610"/>
      <c r="P43" s="1590"/>
      <c r="Q43" s="360"/>
      <c r="R43" s="355"/>
      <c r="S43" s="1958">
        <f>INDEX(PT_DIFFERENTIATION_NUM_NTAR,MATCH(A43,PT_DIFFERENTIATION_NTAR_ID,0))</f>
        <v>0</v>
      </c>
      <c r="T43" s="1525" t="s">
        <v>127</v>
      </c>
      <c r="U43" s="300"/>
      <c r="V43" s="2242"/>
      <c r="W43" s="2243"/>
      <c r="X43" s="2243"/>
      <c r="Y43" s="2243"/>
      <c r="Z43" s="2243"/>
      <c r="AA43" s="2243"/>
      <c r="AB43" s="2243"/>
      <c r="AC43" s="2244"/>
      <c r="AD43" s="2242" t="str">
        <f>INDEX(PT_DIFFERENTIATION_NTAR,MATCH(A43,PT_DIFFERENTIATION_NTAR_ID,0))</f>
        <v/>
      </c>
      <c r="AE43" s="2243"/>
      <c r="AF43" s="2243"/>
      <c r="AG43" s="2243"/>
      <c r="AH43" s="2243"/>
      <c r="AI43" s="2243"/>
      <c r="AJ43" s="2243"/>
      <c r="AK43" s="2243"/>
      <c r="AL43" s="2244"/>
      <c r="AM43" s="1258"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1624"/>
      <c r="AP43" s="1624" t="str">
        <f>IF(T43="","",T43)</f>
        <v>Наименование тарифа</v>
      </c>
      <c r="AQ43" s="1624"/>
      <c r="AR43" s="1624"/>
      <c r="AS43" s="1631">
        <v>21</v>
      </c>
    </row>
    <row customHeight="1" ht="22.049999999999997">
      <c r="A44" s="1267" t="s">
        <v>214</v>
      </c>
      <c r="B44" s="1267" t="s">
        <v>215</v>
      </c>
      <c r="C44" s="1267"/>
      <c r="D44" s="1267"/>
      <c r="E44" s="2290"/>
      <c r="F44" s="2289">
        <v>1</v>
      </c>
      <c r="G44" s="1267"/>
      <c r="H44" s="1267"/>
      <c r="I44" s="1267"/>
      <c r="J44" s="1267"/>
      <c r="K44" s="1267"/>
      <c r="L44" s="1310"/>
      <c r="M44" s="1610"/>
      <c r="N44" s="1610"/>
      <c r="O44" s="1610"/>
      <c r="P44" s="1940"/>
      <c r="Q44" s="352"/>
      <c r="R44" s="353"/>
      <c r="S44" s="1958" t="str">
        <f>INDEX(PT_DIFFERENTIATION_NUM_TER,MATCH(B44,PT_DIFFERENTIATION_TER_ID,0))</f>
        <v>.</v>
      </c>
      <c r="T44" s="1522" t="s">
        <v>399</v>
      </c>
      <c r="U44" s="300"/>
      <c r="V44" s="2242"/>
      <c r="W44" s="2243"/>
      <c r="X44" s="2243"/>
      <c r="Y44" s="2243"/>
      <c r="Z44" s="2243"/>
      <c r="AA44" s="2243"/>
      <c r="AB44" s="2243"/>
      <c r="AC44" s="2244"/>
      <c r="AD44" s="2242" t="str">
        <f>INDEX(PT_DIFFERENTIATION_TER,MATCH(B44,PT_DIFFERENTIATION_TER_ID,0))</f>
        <v/>
      </c>
      <c r="AE44" s="2243"/>
      <c r="AF44" s="2243"/>
      <c r="AG44" s="2243"/>
      <c r="AH44" s="2243"/>
      <c r="AI44" s="2243"/>
      <c r="AJ44" s="2243"/>
      <c r="AK44" s="2243"/>
      <c r="AL44" s="2244"/>
      <c r="AM44" s="1258" t="s">
        <v>400</v>
      </c>
      <c r="AO44" s="1624"/>
      <c r="AP44" s="1624" t="str">
        <f>IF(T44="","",T44)</f>
        <v>Территория действия тарифа</v>
      </c>
      <c r="AQ44" s="1624"/>
      <c r="AR44" s="1624"/>
      <c r="AS44" s="1631">
        <v>21</v>
      </c>
    </row>
    <row customHeight="1" ht="24">
      <c r="A45" s="1267" t="s">
        <v>214</v>
      </c>
      <c r="B45" s="1267" t="s">
        <v>215</v>
      </c>
      <c r="C45" s="1267" t="s">
        <v>216</v>
      </c>
      <c r="D45" s="1267"/>
      <c r="E45" s="2290"/>
      <c r="F45" s="2290"/>
      <c r="G45" s="2289">
        <v>1</v>
      </c>
      <c r="H45" s="1267"/>
      <c r="I45" s="1267"/>
      <c r="J45" s="1267"/>
      <c r="K45" s="1267"/>
      <c r="L45" s="1310"/>
      <c r="M45" s="1610"/>
      <c r="N45" s="1610"/>
      <c r="O45" s="1610"/>
      <c r="P45" s="354"/>
      <c r="Q45" s="352"/>
      <c r="R45" s="353"/>
      <c r="S45" s="1958" t="str">
        <f>INDEX(PT_DIFFERENTIATION_NUM_CS,MATCH(C45,PT_DIFFERENTIATION_CS_ID,0))</f>
        <v>..</v>
      </c>
      <c r="T45" s="309" t="s">
        <v>401</v>
      </c>
      <c r="U45" s="300"/>
      <c r="V45" s="2242"/>
      <c r="W45" s="2243"/>
      <c r="X45" s="2243"/>
      <c r="Y45" s="2243"/>
      <c r="Z45" s="2243"/>
      <c r="AA45" s="2243"/>
      <c r="AB45" s="2243"/>
      <c r="AC45" s="2244"/>
      <c r="AD45" s="2242" t="str">
        <f>INDEX(PT_DIFFERENTIATION_CS,MATCH(C45,PT_DIFFERENTIATION_CS_ID,0))</f>
        <v/>
      </c>
      <c r="AE45" s="2243"/>
      <c r="AF45" s="2243"/>
      <c r="AG45" s="2243"/>
      <c r="AH45" s="2243"/>
      <c r="AI45" s="2243"/>
      <c r="AJ45" s="2243"/>
      <c r="AK45" s="2243"/>
      <c r="AL45" s="2244"/>
      <c r="AM45" s="1258" t="s">
        <v>402</v>
      </c>
      <c r="AO45" s="1624"/>
      <c r="AP45" s="1624" t="str">
        <f>IF(T45="","",T45)</f>
        <v>Наименование системы теплоснабжения </v>
      </c>
      <c r="AQ45" s="1624"/>
      <c r="AR45" s="1624"/>
      <c r="AS45" s="1631">
        <v>23</v>
      </c>
    </row>
    <row customHeight="1" ht="22.049999999999997">
      <c r="A46" s="1267" t="s">
        <v>214</v>
      </c>
      <c r="B46" s="1267" t="s">
        <v>215</v>
      </c>
      <c r="C46" s="1267" t="s">
        <v>216</v>
      </c>
      <c r="D46" s="1267" t="s">
        <v>217</v>
      </c>
      <c r="E46" s="2290"/>
      <c r="F46" s="2290"/>
      <c r="G46" s="2290"/>
      <c r="H46" s="2289">
        <v>1</v>
      </c>
      <c r="I46" s="1267"/>
      <c r="J46" s="1267"/>
      <c r="K46" s="1267"/>
      <c r="L46" s="1310"/>
      <c r="M46" s="1610"/>
      <c r="N46" s="1610"/>
      <c r="O46" s="1610"/>
      <c r="P46" s="354"/>
      <c r="Q46" s="352"/>
      <c r="R46" s="353"/>
      <c r="S46" s="1958" t="str">
        <f>INDEX(PT_DIFFERENTIATION_NUM_IST_TE,MATCH(D46,PT_DIFFERENTIATION_IST_TE_ID,0))</f>
        <v>...</v>
      </c>
      <c r="T46" s="310" t="s">
        <v>403</v>
      </c>
      <c r="U46" s="300"/>
      <c r="V46" s="2242"/>
      <c r="W46" s="2243"/>
      <c r="X46" s="2243"/>
      <c r="Y46" s="2243"/>
      <c r="Z46" s="2243"/>
      <c r="AA46" s="2243"/>
      <c r="AB46" s="2243"/>
      <c r="AC46" s="2244"/>
      <c r="AD46" s="2242" t="str">
        <f>INDEX(PT_DIFFERENTIATION_IST_TE,MATCH(D46,PT_DIFFERENTIATION_IST_TE_ID,0))</f>
        <v/>
      </c>
      <c r="AE46" s="2243"/>
      <c r="AF46" s="2243"/>
      <c r="AG46" s="2243"/>
      <c r="AH46" s="2243"/>
      <c r="AI46" s="2243"/>
      <c r="AJ46" s="2243"/>
      <c r="AK46" s="2243"/>
      <c r="AL46" s="2244"/>
      <c r="AM46" s="1258" t="s">
        <v>404</v>
      </c>
      <c r="AO46" s="1624"/>
      <c r="AP46" s="1624" t="str">
        <f>IF(T46="","",T46)</f>
        <v>Источник тепловой энергии  </v>
      </c>
      <c r="AQ46" s="1624"/>
      <c r="AR46" s="1624"/>
      <c r="AS46" s="1631">
        <v>21</v>
      </c>
    </row>
    <row customHeight="1" ht="49.5">
      <c r="A47" s="1267" t="s">
        <v>214</v>
      </c>
      <c r="B47" s="1267" t="s">
        <v>215</v>
      </c>
      <c r="C47" s="1267" t="s">
        <v>216</v>
      </c>
      <c r="D47" s="1267" t="s">
        <v>217</v>
      </c>
      <c r="E47" s="2290"/>
      <c r="F47" s="2290"/>
      <c r="G47" s="2290"/>
      <c r="H47" s="2290"/>
      <c r="I47" s="2127" t="str">
        <f>S46&amp;".1"</f>
        <v>....1</v>
      </c>
      <c r="J47" s="1267"/>
      <c r="K47" s="1267"/>
      <c r="L47" s="1310" t="s">
        <v>405</v>
      </c>
      <c r="P47" s="2257">
        <v>1</v>
      </c>
      <c r="Q47" s="1954"/>
      <c r="R47" s="356"/>
      <c r="S47" s="1958" t="str">
        <f>$I47</f>
        <v>....1</v>
      </c>
      <c r="T47" s="285" t="s">
        <v>406</v>
      </c>
      <c r="U47" s="300"/>
      <c r="V47" s="2245"/>
      <c r="W47" s="2246"/>
      <c r="X47" s="2246"/>
      <c r="Y47" s="2246"/>
      <c r="Z47" s="2246"/>
      <c r="AA47" s="2246"/>
      <c r="AB47" s="2246"/>
      <c r="AC47" s="2247"/>
      <c r="AD47" s="2245"/>
      <c r="AE47" s="2246"/>
      <c r="AF47" s="2246"/>
      <c r="AG47" s="2246"/>
      <c r="AH47" s="2246"/>
      <c r="AI47" s="2246"/>
      <c r="AJ47" s="2246"/>
      <c r="AK47" s="2246"/>
      <c r="AL47" s="2247"/>
      <c r="AM47" s="1258" t="s">
        <v>407</v>
      </c>
      <c r="AO47" s="1624"/>
      <c r="AP47" s="1624" t="str">
        <f>IF(T47="","",T47)</f>
        <v>Схема подключения теплопотребляющей установки к коллектору источника тепловой энергии</v>
      </c>
      <c r="AQ47" s="1624"/>
      <c r="AR47" s="1624"/>
      <c r="AS47" s="1631">
        <v>47</v>
      </c>
    </row>
    <row customHeight="1" ht="22.049999999999997">
      <c r="A48" s="1267" t="s">
        <v>214</v>
      </c>
      <c r="B48" s="1267" t="s">
        <v>215</v>
      </c>
      <c r="C48" s="1267" t="s">
        <v>216</v>
      </c>
      <c r="D48" s="1267" t="s">
        <v>217</v>
      </c>
      <c r="E48" s="2290"/>
      <c r="F48" s="2290"/>
      <c r="G48" s="2290"/>
      <c r="H48" s="2290"/>
      <c r="I48" s="2101"/>
      <c r="J48" s="2127" t="str">
        <f>I47&amp;".1"</f>
        <v>....1.1</v>
      </c>
      <c r="K48" s="1267"/>
      <c r="L48" s="1310" t="s">
        <v>408</v>
      </c>
      <c r="P48" s="2257"/>
      <c r="Q48" s="2257">
        <v>1</v>
      </c>
      <c r="R48" s="357"/>
      <c r="S48" s="1958" t="str">
        <f>$J48</f>
        <v>....1.1</v>
      </c>
      <c r="T48" s="286" t="s">
        <v>409</v>
      </c>
      <c r="U48" s="300"/>
      <c r="V48" s="2245"/>
      <c r="W48" s="2246"/>
      <c r="X48" s="2246"/>
      <c r="Y48" s="2246"/>
      <c r="Z48" s="2246"/>
      <c r="AA48" s="2246"/>
      <c r="AB48" s="2246"/>
      <c r="AC48" s="2247"/>
      <c r="AD48" s="2245"/>
      <c r="AE48" s="2246"/>
      <c r="AF48" s="2246"/>
      <c r="AG48" s="2246"/>
      <c r="AH48" s="2246"/>
      <c r="AI48" s="2246"/>
      <c r="AJ48" s="2246"/>
      <c r="AK48" s="2246"/>
      <c r="AL48" s="2247"/>
      <c r="AM48" s="1258" t="s">
        <v>410</v>
      </c>
      <c r="AO48" s="1624"/>
      <c r="AP48" s="1624" t="str">
        <f>IF(T48="","",T48)</f>
        <v>Группа потребителей</v>
      </c>
      <c r="AQ48" s="1624"/>
      <c r="AR48" s="1624"/>
      <c r="AS48" s="1631">
        <v>21</v>
      </c>
    </row>
    <row customHeight="1" ht="22.049999999999997">
      <c r="A49" s="1267" t="s">
        <v>214</v>
      </c>
      <c r="B49" s="1267" t="s">
        <v>215</v>
      </c>
      <c r="C49" s="1267" t="s">
        <v>216</v>
      </c>
      <c r="D49" s="1267" t="s">
        <v>217</v>
      </c>
      <c r="E49" s="2290"/>
      <c r="F49" s="2290"/>
      <c r="G49" s="2290"/>
      <c r="H49" s="2290"/>
      <c r="I49" s="2101"/>
      <c r="J49" s="2101"/>
      <c r="K49" s="2127" t="str">
        <f>J48&amp;".1"</f>
        <v>....1.1.1</v>
      </c>
      <c r="L49" s="1310" t="s">
        <v>411</v>
      </c>
      <c r="P49" s="2257"/>
      <c r="Q49" s="2257"/>
      <c r="R49" s="357">
        <v>1</v>
      </c>
      <c r="S49" s="1958" t="str">
        <f>$K49</f>
        <v>....1.1.1</v>
      </c>
      <c r="T49" s="1347"/>
      <c r="U49" s="300"/>
      <c r="V49" s="751"/>
      <c r="W49" s="325"/>
      <c r="X49" s="751"/>
      <c r="Y49" s="1257"/>
      <c r="Z49" s="2265"/>
      <c r="AA49" s="2107" t="s">
        <v>66</v>
      </c>
      <c r="AB49" s="2265"/>
      <c r="AC49" s="2107" t="s">
        <v>66</v>
      </c>
      <c r="AD49" s="751"/>
      <c r="AE49" s="325"/>
      <c r="AF49" s="751"/>
      <c r="AG49" s="1257"/>
      <c r="AH49" s="2265"/>
      <c r="AI49" s="2107" t="s">
        <v>66</v>
      </c>
      <c r="AJ49" s="2287"/>
      <c r="AK49" s="2107" t="s">
        <v>66</v>
      </c>
      <c r="AL49" s="1348"/>
      <c r="AM49" s="2253" t="s">
        <v>412</v>
      </c>
      <c r="AN49" s="1636">
        <f>STRCHECKDATE(V50:AL50)</f>
      </c>
      <c r="AO49" s="1624"/>
      <c r="AP49" s="1624" t="str">
        <f>IF(T49="","",T49)</f>
        <v/>
      </c>
      <c r="AQ49" s="1624"/>
      <c r="AR49" s="1624"/>
      <c r="AS49" s="1631">
        <v>21</v>
      </c>
    </row>
    <row customHeight="1" ht="1.05">
      <c r="A50" s="1267" t="s">
        <v>214</v>
      </c>
      <c r="B50" s="1267" t="s">
        <v>215</v>
      </c>
      <c r="C50" s="1267" t="s">
        <v>216</v>
      </c>
      <c r="D50" s="1267" t="s">
        <v>217</v>
      </c>
      <c r="E50" s="2290"/>
      <c r="F50" s="2290"/>
      <c r="G50" s="2290"/>
      <c r="H50" s="2290"/>
      <c r="I50" s="2101"/>
      <c r="J50" s="2101"/>
      <c r="K50" s="2127"/>
      <c r="L50" s="1310"/>
      <c r="P50" s="2257"/>
      <c r="Q50" s="2257"/>
      <c r="R50" s="357"/>
      <c r="S50" s="1967"/>
      <c r="T50" s="300"/>
      <c r="U50" s="300"/>
      <c r="V50" s="325"/>
      <c r="W50" s="325"/>
      <c r="X50" s="325"/>
      <c r="Y50" s="328" t="str">
        <f>Z49&amp;"-"&amp;AB49</f>
        <v>-</v>
      </c>
      <c r="Z50" s="2266"/>
      <c r="AA50" s="2107"/>
      <c r="AB50" s="2266"/>
      <c r="AC50" s="2107"/>
      <c r="AD50" s="325"/>
      <c r="AE50" s="325"/>
      <c r="AF50" s="325"/>
      <c r="AG50" s="328" t="str">
        <f>AH49&amp;"-"&amp;AJ49</f>
        <v>-</v>
      </c>
      <c r="AH50" s="2266"/>
      <c r="AI50" s="2107"/>
      <c r="AJ50" s="2288"/>
      <c r="AK50" s="2107"/>
      <c r="AL50" s="1349"/>
      <c r="AM50" s="2254"/>
      <c r="AO50" s="1624"/>
      <c r="AP50" s="1624" t="str">
        <f>IF(T50="","",T50)</f>
        <v/>
      </c>
      <c r="AQ50" s="1624"/>
      <c r="AR50" s="1624"/>
      <c r="AS50" s="1631">
        <v>1</v>
      </c>
    </row>
    <row customHeight="1" ht="11.549999999999999">
      <c r="A51" s="1267" t="s">
        <v>214</v>
      </c>
      <c r="B51" s="1267" t="s">
        <v>215</v>
      </c>
      <c r="C51" s="1267" t="s">
        <v>216</v>
      </c>
      <c r="D51" s="1267" t="s">
        <v>217</v>
      </c>
      <c r="E51" s="2290"/>
      <c r="F51" s="2290"/>
      <c r="G51" s="2290"/>
      <c r="H51" s="2290"/>
      <c r="I51" s="2101"/>
      <c r="J51" s="2127"/>
      <c r="K51" s="1267"/>
      <c r="L51" s="1310"/>
      <c r="P51" s="2257"/>
      <c r="Q51" s="2257"/>
      <c r="R51" s="356"/>
      <c r="S51" s="1278"/>
      <c r="T51" s="288" t="s">
        <v>413</v>
      </c>
      <c r="U51" s="600"/>
      <c r="V51" s="600"/>
      <c r="W51" s="600"/>
      <c r="X51" s="600"/>
      <c r="Y51" s="600"/>
      <c r="Z51" s="600"/>
      <c r="AA51" s="600"/>
      <c r="AB51" s="600"/>
      <c r="AC51" s="600"/>
      <c r="AD51" s="600"/>
      <c r="AE51" s="600"/>
      <c r="AF51" s="600"/>
      <c r="AG51" s="600"/>
      <c r="AH51" s="600"/>
      <c r="AI51" s="600"/>
      <c r="AJ51" s="600"/>
      <c r="AK51" s="600"/>
      <c r="AL51" s="324"/>
      <c r="AM51" s="2255"/>
      <c r="AO51" s="1624"/>
      <c r="AP51" s="1624" t="str">
        <f>IF(T51="","",T51)</f>
        <v>Добавить вид теплоносителя (параметры теплоносителя)</v>
      </c>
      <c r="AQ51" s="1624"/>
      <c r="AR51" s="1624"/>
      <c r="AS51" s="1631">
        <v>11</v>
      </c>
    </row>
    <row customHeight="1" ht="11.549999999999999">
      <c r="A52" s="1267" t="s">
        <v>214</v>
      </c>
      <c r="B52" s="1267" t="s">
        <v>215</v>
      </c>
      <c r="C52" s="1267" t="s">
        <v>216</v>
      </c>
      <c r="D52" s="1267" t="s">
        <v>217</v>
      </c>
      <c r="E52" s="2290"/>
      <c r="F52" s="2290"/>
      <c r="G52" s="2290"/>
      <c r="H52" s="2290"/>
      <c r="I52" s="2127"/>
      <c r="J52" s="1267"/>
      <c r="K52" s="1267"/>
      <c r="L52" s="1310"/>
      <c r="P52" s="2257"/>
      <c r="Q52" s="1954"/>
      <c r="R52" s="356"/>
      <c r="S52" s="1278"/>
      <c r="T52" s="287" t="s">
        <v>414</v>
      </c>
      <c r="U52" s="600"/>
      <c r="V52" s="600"/>
      <c r="W52" s="600"/>
      <c r="X52" s="600"/>
      <c r="Y52" s="600"/>
      <c r="Z52" s="600"/>
      <c r="AA52" s="600"/>
      <c r="AB52" s="600"/>
      <c r="AC52" s="366"/>
      <c r="AD52" s="600"/>
      <c r="AE52" s="600"/>
      <c r="AF52" s="600"/>
      <c r="AG52" s="600"/>
      <c r="AH52" s="600"/>
      <c r="AI52" s="600"/>
      <c r="AJ52" s="600"/>
      <c r="AK52" s="366"/>
      <c r="AL52" s="600"/>
      <c r="AM52" s="303"/>
      <c r="AO52" s="1624"/>
      <c r="AP52" s="1624" t="str">
        <f>IF(T52="","",T52)</f>
        <v>Добавить группу потребителей</v>
      </c>
      <c r="AQ52" s="1624"/>
      <c r="AR52" s="1624"/>
      <c r="AS52" s="1631">
        <v>11</v>
      </c>
    </row>
    <row customHeight="1" ht="14.699999999999998">
      <c r="A53" s="1267" t="s">
        <v>214</v>
      </c>
      <c r="B53" s="1267" t="s">
        <v>215</v>
      </c>
      <c r="C53" s="1267" t="s">
        <v>216</v>
      </c>
      <c r="D53" s="1267" t="s">
        <v>217</v>
      </c>
      <c r="E53" s="2290"/>
      <c r="F53" s="2290"/>
      <c r="G53" s="2290"/>
      <c r="H53" s="2289"/>
      <c r="I53" s="1267"/>
      <c r="J53" s="1267"/>
      <c r="K53" s="1267"/>
      <c r="L53" s="1310"/>
      <c r="M53" s="1610"/>
      <c r="N53" s="1610"/>
      <c r="O53" s="1635"/>
      <c r="P53" s="360"/>
      <c r="Q53" s="375"/>
      <c r="R53" s="355"/>
      <c r="S53" s="1278"/>
      <c r="T53" s="365" t="s">
        <v>415</v>
      </c>
      <c r="U53" s="600"/>
      <c r="V53" s="600"/>
      <c r="W53" s="600"/>
      <c r="X53" s="600"/>
      <c r="Y53" s="600"/>
      <c r="Z53" s="600"/>
      <c r="AA53" s="600"/>
      <c r="AB53" s="600"/>
      <c r="AC53" s="366"/>
      <c r="AD53" s="600"/>
      <c r="AE53" s="600"/>
      <c r="AF53" s="600"/>
      <c r="AG53" s="600"/>
      <c r="AH53" s="600"/>
      <c r="AI53" s="600"/>
      <c r="AJ53" s="600"/>
      <c r="AK53" s="366"/>
      <c r="AL53" s="600"/>
      <c r="AM53" s="303"/>
      <c r="AO53" s="1624"/>
      <c r="AP53" s="1624" t="str">
        <f>IF(T53="","",T53)</f>
        <v>Добавить схему подключения</v>
      </c>
      <c r="AQ53" s="1624"/>
      <c r="AR53" s="1624"/>
      <c r="AS53" s="1631">
        <v>14</v>
      </c>
    </row>
    <row s="1642" customFormat="1" customHeight="1" ht="4.2">
      <c r="A54" s="1375" t="s">
        <v>214</v>
      </c>
      <c r="B54" s="1375" t="s">
        <v>215</v>
      </c>
      <c r="C54" s="1375" t="s">
        <v>216</v>
      </c>
      <c r="D54" s="1374"/>
      <c r="E54" s="2290"/>
      <c r="F54" s="2290"/>
      <c r="G54" s="2289"/>
      <c r="H54" s="1374"/>
      <c r="I54" s="1374"/>
      <c r="J54" s="1374"/>
      <c r="K54" s="1374"/>
      <c r="L54" s="1377"/>
      <c r="M54" s="1378"/>
      <c r="N54" s="1378"/>
      <c r="O54" s="351"/>
      <c r="P54" s="1316"/>
      <c r="Q54" s="1317"/>
      <c r="R54" s="1316"/>
      <c r="S54" s="1322"/>
      <c r="T54" s="1325" t="s">
        <v>416</v>
      </c>
      <c r="U54" s="1324"/>
      <c r="V54" s="1324"/>
      <c r="W54" s="1324"/>
      <c r="X54" s="1324"/>
      <c r="Y54" s="1324"/>
      <c r="Z54" s="1324"/>
      <c r="AA54" s="1324"/>
      <c r="AB54" s="1324"/>
      <c r="AC54" s="1324"/>
      <c r="AD54" s="1324"/>
      <c r="AE54" s="1324"/>
      <c r="AF54" s="1324"/>
      <c r="AG54" s="1324"/>
      <c r="AH54" s="1324"/>
      <c r="AI54" s="1324"/>
      <c r="AJ54" s="1324"/>
      <c r="AK54" s="1324"/>
      <c r="AL54" s="1324"/>
      <c r="AM54" s="1324"/>
      <c r="AO54" s="1251"/>
      <c r="AP54" s="1251" t="str">
        <f>IF(T54="","",T54)</f>
        <v>Добавить источник для дифференциации</v>
      </c>
      <c r="AQ54" s="1251"/>
      <c r="AR54" s="1251"/>
      <c r="AS54" s="1642">
        <v>4</v>
      </c>
    </row>
    <row s="1642" customFormat="1" customHeight="1" ht="4.2">
      <c r="A55" s="1375" t="s">
        <v>214</v>
      </c>
      <c r="B55" s="1375" t="s">
        <v>215</v>
      </c>
      <c r="C55" s="1374"/>
      <c r="D55" s="1374"/>
      <c r="E55" s="2290"/>
      <c r="F55" s="2289"/>
      <c r="G55" s="1374"/>
      <c r="H55" s="1374"/>
      <c r="I55" s="1374"/>
      <c r="J55" s="1374"/>
      <c r="K55" s="1374"/>
      <c r="L55" s="1377"/>
      <c r="M55" s="1379"/>
      <c r="N55" s="1379"/>
      <c r="O55" s="351"/>
      <c r="P55" s="1316"/>
      <c r="Q55" s="1317"/>
      <c r="R55" s="1316"/>
      <c r="S55" s="1322"/>
      <c r="T55" s="1325" t="s">
        <v>417</v>
      </c>
      <c r="U55" s="1324"/>
      <c r="V55" s="1324"/>
      <c r="W55" s="1324"/>
      <c r="X55" s="1324"/>
      <c r="Y55" s="1324"/>
      <c r="Z55" s="1324"/>
      <c r="AA55" s="1324"/>
      <c r="AB55" s="1324"/>
      <c r="AC55" s="1324"/>
      <c r="AD55" s="1324"/>
      <c r="AE55" s="1324"/>
      <c r="AF55" s="1324"/>
      <c r="AG55" s="1324"/>
      <c r="AH55" s="1324"/>
      <c r="AI55" s="1324"/>
      <c r="AJ55" s="1324"/>
      <c r="AK55" s="1324"/>
      <c r="AL55" s="1324"/>
      <c r="AM55" s="1324"/>
      <c r="AO55" s="1251"/>
      <c r="AP55" s="1251" t="str">
        <f>IF(T55="","",T55)</f>
        <v>Добавить централизованную систему для дифференциации</v>
      </c>
      <c r="AQ55" s="1251"/>
      <c r="AR55" s="1251"/>
      <c r="AS55" s="1642">
        <v>4</v>
      </c>
    </row>
    <row s="1642" customFormat="1" customHeight="1" ht="4.2">
      <c r="A56" s="1375" t="s">
        <v>214</v>
      </c>
      <c r="B56" s="1375"/>
      <c r="C56" s="1375"/>
      <c r="D56" s="1375"/>
      <c r="E56" s="2289"/>
      <c r="F56" s="1375"/>
      <c r="G56" s="1375"/>
      <c r="H56" s="1375"/>
      <c r="I56" s="1375"/>
      <c r="J56" s="1375"/>
      <c r="K56" s="1375"/>
      <c r="L56" s="1381"/>
      <c r="M56" s="1379"/>
      <c r="N56" s="1379"/>
      <c r="O56" s="351"/>
      <c r="P56" s="380"/>
      <c r="Q56" s="1344"/>
      <c r="R56" s="380"/>
      <c r="S56" s="1322"/>
      <c r="T56" s="1325" t="s">
        <v>418</v>
      </c>
      <c r="U56" s="1324"/>
      <c r="V56" s="1324"/>
      <c r="W56" s="1324"/>
      <c r="X56" s="1324"/>
      <c r="Y56" s="1324"/>
      <c r="Z56" s="1324"/>
      <c r="AA56" s="1324"/>
      <c r="AB56" s="1324"/>
      <c r="AC56" s="1324"/>
      <c r="AD56" s="1324"/>
      <c r="AE56" s="1324"/>
      <c r="AF56" s="1324"/>
      <c r="AG56" s="1324"/>
      <c r="AH56" s="1324"/>
      <c r="AI56" s="1324"/>
      <c r="AJ56" s="1324"/>
      <c r="AK56" s="1324"/>
      <c r="AL56" s="1324"/>
      <c r="AM56" s="1324"/>
      <c r="AO56" s="1624"/>
      <c r="AP56" s="1624" t="str">
        <f>IF(T56="","",T56)</f>
        <v>Добавить территорию для дифференциации</v>
      </c>
      <c r="AQ56" s="1624"/>
      <c r="AR56" s="1624"/>
      <c r="AS56" s="1636">
        <v>4</v>
      </c>
    </row>
    <row s="1642" customFormat="1" customHeight="1" ht="4.2">
      <c r="A57" s="1374"/>
      <c r="B57" s="1374"/>
      <c r="C57" s="1374"/>
      <c r="D57" s="1374"/>
      <c r="E57" s="1375"/>
      <c r="F57" s="1374"/>
      <c r="G57" s="1374"/>
      <c r="H57" s="1374"/>
      <c r="I57" s="1374"/>
      <c r="J57" s="1374"/>
      <c r="K57" s="1374"/>
      <c r="L57" s="1377"/>
      <c r="M57" s="1379"/>
      <c r="N57" s="1379"/>
      <c r="O57" s="351"/>
      <c r="P57" s="1316"/>
      <c r="Q57" s="1317"/>
      <c r="R57" s="1316"/>
      <c r="S57" s="1322"/>
      <c r="T57" s="1325" t="s">
        <v>450</v>
      </c>
      <c r="U57" s="1324"/>
      <c r="V57" s="1324"/>
      <c r="W57" s="1324"/>
      <c r="X57" s="1324"/>
      <c r="Y57" s="1324"/>
      <c r="Z57" s="1324"/>
      <c r="AA57" s="1324"/>
      <c r="AB57" s="1324"/>
      <c r="AC57" s="1324"/>
      <c r="AD57" s="1324"/>
      <c r="AE57" s="1324"/>
      <c r="AF57" s="1324"/>
      <c r="AG57" s="1324"/>
      <c r="AH57" s="1324"/>
      <c r="AI57" s="1324"/>
      <c r="AJ57" s="1324"/>
      <c r="AK57" s="1324"/>
      <c r="AL57" s="1324"/>
      <c r="AM57" s="1324"/>
      <c r="AO57" s="1251"/>
      <c r="AP57" s="1251" t="str">
        <f>IF(T57="","",T57)</f>
        <v>Добавить наименование тарифа</v>
      </c>
      <c r="AQ57" s="1251"/>
      <c r="AR57" s="1251"/>
      <c r="AS57" s="1642">
        <v>4</v>
      </c>
    </row>
    <row customHeight="1" ht="11.549999999999999">
      <c r="M58" s="1631"/>
      <c r="N58" s="1631"/>
      <c r="O58" s="1635"/>
      <c r="P58" s="1631"/>
      <c r="Q58" s="1631"/>
      <c r="R58" s="1631"/>
      <c r="S58" s="1631"/>
      <c r="AN58" s="1631"/>
      <c r="AO58" s="1631"/>
      <c r="AP58" s="1631"/>
      <c r="AQ58" s="1631"/>
      <c r="AR58" s="1631"/>
      <c r="AS58" s="1631">
        <v>11</v>
      </c>
    </row>
    <row customHeight="1" ht="28.5">
      <c r="O59" s="1635"/>
      <c r="S59" s="1253"/>
      <c r="T59" s="2285"/>
      <c r="U59" s="2285"/>
      <c r="V59" s="2285"/>
      <c r="W59" s="2285"/>
      <c r="X59" s="2285"/>
      <c r="Y59" s="2285"/>
      <c r="Z59" s="2285"/>
      <c r="AA59" s="2285"/>
      <c r="AB59" s="2285"/>
      <c r="AC59" s="2285"/>
      <c r="AD59" s="2285"/>
      <c r="AE59" s="2285"/>
      <c r="AF59" s="2285"/>
      <c r="AG59" s="2285"/>
      <c r="AH59" s="2285"/>
      <c r="AI59" s="2285"/>
      <c r="AJ59" s="2285"/>
      <c r="AK59" s="2285"/>
      <c r="AL59" s="2285"/>
      <c r="AM59" s="2285"/>
      <c r="AS59" s="1631">
        <v>27</v>
      </c>
    </row>
    <row customHeight="1" ht="65.25">
      <c r="O60" s="1635"/>
      <c r="T60" s="2285"/>
      <c r="U60" s="2285"/>
      <c r="V60" s="2285"/>
      <c r="W60" s="2285"/>
      <c r="X60" s="2285"/>
      <c r="Y60" s="2285"/>
      <c r="Z60" s="2285"/>
      <c r="AA60" s="2285"/>
      <c r="AB60" s="2285"/>
      <c r="AC60" s="2285"/>
      <c r="AD60" s="2285"/>
      <c r="AE60" s="2285"/>
      <c r="AF60" s="2285"/>
      <c r="AG60" s="2285"/>
      <c r="AH60" s="2285"/>
      <c r="AI60" s="2285"/>
      <c r="AJ60" s="2285"/>
      <c r="AK60" s="2285"/>
      <c r="AL60" s="2285"/>
      <c r="AM60" s="2285"/>
      <c r="AS60" s="1631">
        <v>62</v>
      </c>
    </row>
    <row customHeight="1" ht="14.699999999999998">
      <c r="O61" s="1635"/>
      <c r="AS61" s="1631">
        <v>14</v>
      </c>
    </row>
    <row customHeight="1" ht="18.75">
      <c r="O62" s="1635"/>
      <c r="S62" s="1253"/>
      <c r="T62" s="2285"/>
      <c r="U62" s="2285"/>
      <c r="V62" s="2285"/>
      <c r="W62" s="2285"/>
      <c r="X62" s="2285"/>
      <c r="Y62" s="2285"/>
      <c r="Z62" s="2285"/>
      <c r="AA62" s="2285"/>
      <c r="AB62" s="2285"/>
      <c r="AC62" s="2285"/>
      <c r="AD62" s="2285"/>
      <c r="AE62" s="2285"/>
      <c r="AF62" s="2285"/>
      <c r="AG62" s="2285"/>
      <c r="AH62" s="2285"/>
      <c r="AI62" s="2285"/>
      <c r="AJ62" s="2285"/>
      <c r="AK62" s="2285"/>
      <c r="AL62" s="2285"/>
      <c r="AM62" s="2285"/>
      <c r="AS62" s="1631">
        <v>18</v>
      </c>
    </row>
    <row customHeight="1" ht="18.75">
      <c r="O63" s="1635"/>
      <c r="T63" s="2285"/>
      <c r="U63" s="2285"/>
      <c r="V63" s="2285"/>
      <c r="W63" s="2285"/>
      <c r="X63" s="2285"/>
      <c r="Y63" s="2285"/>
      <c r="Z63" s="2285"/>
      <c r="AA63" s="2285"/>
      <c r="AB63" s="2285"/>
      <c r="AC63" s="2285"/>
      <c r="AD63" s="2285"/>
      <c r="AE63" s="2285"/>
      <c r="AF63" s="2285"/>
      <c r="AG63" s="2285"/>
      <c r="AH63" s="2285"/>
      <c r="AI63" s="2285"/>
      <c r="AJ63" s="2285"/>
      <c r="AK63" s="2285"/>
      <c r="AL63" s="2285"/>
      <c r="AM63" s="2285"/>
      <c r="AS63" s="1631">
        <v>18</v>
      </c>
    </row>
    <row customHeight="1" ht="29.25">
      <c r="O64" s="1635"/>
      <c r="S64" s="1253"/>
      <c r="T64" s="2285"/>
      <c r="U64" s="2285"/>
      <c r="V64" s="2285"/>
      <c r="W64" s="2285"/>
      <c r="X64" s="2285"/>
      <c r="Y64" s="2285"/>
      <c r="Z64" s="2285"/>
      <c r="AA64" s="2285"/>
      <c r="AB64" s="2285"/>
      <c r="AC64" s="2285"/>
      <c r="AD64" s="2285"/>
      <c r="AE64" s="2285"/>
      <c r="AF64" s="2285"/>
      <c r="AG64" s="2285"/>
      <c r="AH64" s="2285"/>
      <c r="AI64" s="2285"/>
      <c r="AJ64" s="2285"/>
      <c r="AK64" s="2285"/>
      <c r="AL64" s="2285"/>
      <c r="AM64" s="2285"/>
      <c r="AS64" s="1631">
        <v>28</v>
      </c>
    </row>
    <row customHeight="1" ht="22.5" hidden="1">
      <c r="A65" s="1631" t="s">
        <v>82</v>
      </c>
      <c r="B65" s="1631">
        <v>0</v>
      </c>
      <c r="C65" s="1631">
        <v>0</v>
      </c>
      <c r="D65" s="1631">
        <v>0</v>
      </c>
      <c r="E65" s="1631">
        <v>0</v>
      </c>
      <c r="F65" s="1631">
        <v>0</v>
      </c>
      <c r="G65" s="1631">
        <v>0</v>
      </c>
      <c r="H65" s="1631">
        <v>0</v>
      </c>
      <c r="I65" s="1631">
        <v>0</v>
      </c>
      <c r="J65" s="1631">
        <v>0</v>
      </c>
      <c r="K65" s="1631">
        <v>0</v>
      </c>
      <c r="L65" s="1939">
        <v>0</v>
      </c>
      <c r="M65" s="1965">
        <v>0</v>
      </c>
      <c r="N65" s="1965">
        <v>0</v>
      </c>
      <c r="O65" s="1965">
        <v>0</v>
      </c>
      <c r="P65" s="1965">
        <v>3</v>
      </c>
      <c r="Q65" s="344">
        <v>3</v>
      </c>
      <c r="R65" s="344">
        <v>3</v>
      </c>
      <c r="S65" s="581">
        <v>12</v>
      </c>
      <c r="T65" s="1631">
        <v>31</v>
      </c>
      <c r="U65" s="1631">
        <v>0</v>
      </c>
      <c r="V65" s="1631">
        <v>0</v>
      </c>
      <c r="W65" s="1631">
        <v>0</v>
      </c>
      <c r="X65" s="1631">
        <v>0</v>
      </c>
      <c r="Y65" s="1631">
        <v>0</v>
      </c>
      <c r="Z65" s="1631">
        <v>0</v>
      </c>
      <c r="AA65" s="1631">
        <v>0</v>
      </c>
      <c r="AB65" s="1631">
        <v>0</v>
      </c>
      <c r="AC65" s="1631">
        <v>0</v>
      </c>
      <c r="AD65" s="1631">
        <v>24</v>
      </c>
      <c r="AE65" s="1631">
        <v>0</v>
      </c>
      <c r="AF65" s="1631">
        <v>24</v>
      </c>
      <c r="AG65" s="1631">
        <v>24</v>
      </c>
      <c r="AH65" s="1631">
        <v>11</v>
      </c>
      <c r="AI65" s="1631">
        <v>3</v>
      </c>
      <c r="AJ65" s="1631">
        <v>11</v>
      </c>
      <c r="AK65" s="1631">
        <v>0</v>
      </c>
      <c r="AL65" s="1631">
        <v>4</v>
      </c>
      <c r="AM65" s="1631">
        <v>115</v>
      </c>
      <c r="AN65" s="1636">
        <v>10</v>
      </c>
      <c r="AO65" s="1636">
        <v>10</v>
      </c>
      <c r="AP65" s="1636">
        <v>10</v>
      </c>
      <c r="AQ65" s="1636">
        <v>10</v>
      </c>
      <c r="AR65" s="1636">
        <v>10</v>
      </c>
      <c r="AS65" s="1631">
        <v>23</v>
      </c>
    </row>
  </sheetData>
  <sheetProtection sort="0" autoFilter="0" insertRows="0" insertColumns="1" deleteRows="0" deleteColumns="0"/>
  <mergeCells count="112">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 ref="J7:J10"/>
    <mergeCell ref="Q7:Q10"/>
    <mergeCell ref="V7:AC7"/>
    <mergeCell ref="AD7:AL7"/>
    <mergeCell ref="AK8:AK9"/>
    <mergeCell ref="AM8:AM10"/>
    <mergeCell ref="AH17:AH18"/>
    <mergeCell ref="AI17:AI18"/>
    <mergeCell ref="AJ17:AJ18"/>
    <mergeCell ref="AK17:AK18"/>
    <mergeCell ref="K8:K9"/>
    <mergeCell ref="Z8:Z9"/>
    <mergeCell ref="AA8:AA9"/>
    <mergeCell ref="AB8:AB9"/>
    <mergeCell ref="AC8:AC9"/>
    <mergeCell ref="AH8:AH9"/>
    <mergeCell ref="S26:AJ26"/>
    <mergeCell ref="S27:AJ27"/>
    <mergeCell ref="S29:T29"/>
    <mergeCell ref="V29:AB29"/>
    <mergeCell ref="AD29:AJ29"/>
    <mergeCell ref="S30:T30"/>
    <mergeCell ref="V30:AB30"/>
    <mergeCell ref="AD30:AJ30"/>
    <mergeCell ref="AI8:AI9"/>
    <mergeCell ref="AJ8:AJ9"/>
    <mergeCell ref="S34:T34"/>
    <mergeCell ref="V34:AB34"/>
    <mergeCell ref="AD34:AJ34"/>
    <mergeCell ref="S35:T35"/>
    <mergeCell ref="V35:AB35"/>
    <mergeCell ref="AD35:AJ35"/>
    <mergeCell ref="S31:T31"/>
    <mergeCell ref="V31:AB31"/>
    <mergeCell ref="AD31:AJ31"/>
    <mergeCell ref="S32:T32"/>
    <mergeCell ref="V32:AB32"/>
    <mergeCell ref="AD32:AJ32"/>
    <mergeCell ref="V37:AC37"/>
    <mergeCell ref="AD37:AK37"/>
    <mergeCell ref="S38:AL38"/>
    <mergeCell ref="AM38:AM41"/>
    <mergeCell ref="S39:S41"/>
    <mergeCell ref="T39:T41"/>
    <mergeCell ref="V39:AB39"/>
    <mergeCell ref="AC39:AC41"/>
    <mergeCell ref="AD39:AJ39"/>
    <mergeCell ref="AK39:AK41"/>
    <mergeCell ref="E43:E56"/>
    <mergeCell ref="V43:AC43"/>
    <mergeCell ref="AD43:AL43"/>
    <mergeCell ref="F44:F55"/>
    <mergeCell ref="V44:AC44"/>
    <mergeCell ref="AD44:AL44"/>
    <mergeCell ref="G45:G54"/>
    <mergeCell ref="AL39:AL41"/>
    <mergeCell ref="V40:V41"/>
    <mergeCell ref="W40:W41"/>
    <mergeCell ref="X40:Y40"/>
    <mergeCell ref="Z40:AB40"/>
    <mergeCell ref="AD40:AD41"/>
    <mergeCell ref="AE40:AE41"/>
    <mergeCell ref="AF40:AG40"/>
    <mergeCell ref="AH40:AJ40"/>
    <mergeCell ref="AA41:AB41"/>
    <mergeCell ref="H46:H53"/>
    <mergeCell ref="V46:AC46"/>
    <mergeCell ref="AD46:AL46"/>
    <mergeCell ref="I47:I52"/>
    <mergeCell ref="P47:P52"/>
    <mergeCell ref="V47:AC47"/>
    <mergeCell ref="AD47:AL47"/>
    <mergeCell ref="J48:J51"/>
    <mergeCell ref="AI41:AJ41"/>
    <mergeCell ref="AA42:AB42"/>
    <mergeCell ref="AI42:AJ42"/>
    <mergeCell ref="K49:K50"/>
    <mergeCell ref="Z49:Z50"/>
    <mergeCell ref="AA49:AA50"/>
    <mergeCell ref="AB49:AB50"/>
    <mergeCell ref="AC49:AC50"/>
    <mergeCell ref="AH49:AH50"/>
    <mergeCell ref="AI49:AI50"/>
    <mergeCell ref="V45:AC45"/>
    <mergeCell ref="AD45:AL45"/>
    <mergeCell ref="T63:AM63"/>
    <mergeCell ref="T64:AM64"/>
    <mergeCell ref="AJ49:AJ50"/>
    <mergeCell ref="AK49:AK50"/>
    <mergeCell ref="AM49:AM51"/>
    <mergeCell ref="T59:AM59"/>
    <mergeCell ref="T60:AM60"/>
    <mergeCell ref="T62:AM62"/>
    <mergeCell ref="Q48:Q51"/>
    <mergeCell ref="V48:AC48"/>
    <mergeCell ref="AD48:AL48"/>
  </mergeCells>
  <dataValidations count="8">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593B218-0F5A-425A-C3EA-807494F10291}" mc:Ignorable="x14ac xr xr2 xr3">
  <sheetPr>
    <tabColor theme="6" tint="0.4"/>
  </sheetPr>
  <dimension ref="A1:AS65"/>
  <sheetViews>
    <sheetView showGridLines="0" zoomScale="90" workbookViewId="0">
      <pane xSplit="29" ySplit="42" topLeftCell="AD43" activePane="bottomRight" state="frozen"/>
      <selection pane="bottomLeft" activeCell="A43" sqref="A43"/>
      <selection pane="topRight" activeCell="AD1" sqref="AD1"/>
      <selection pane="bottomRight" activeCell="A1" sqref="A1"/>
    </sheetView>
  </sheetViews>
  <sheetFormatPr defaultColWidth="10.57421875" customHeight="1" defaultRowHeight="14.25"/>
  <cols>
    <col min="1" max="1" style="1635" width="10.57421875" hidden="1"/>
    <col min="2" max="2" style="1635" width="11.00390625" hidden="1" customWidth="1"/>
    <col min="3" max="3" style="1635" width="10.57421875" hidden="1"/>
    <col min="4" max="4" style="1635" width="11.8515625" hidden="1" customWidth="1"/>
    <col min="5" max="5" style="1635" width="10.00390625" hidden="1" customWidth="1"/>
    <col min="6" max="6" style="1635" width="8.7109375" hidden="1" customWidth="1"/>
    <col min="7" max="7" style="1635" width="7.57421875" hidden="1" customWidth="1"/>
    <col min="8" max="8" style="1635" width="11.421875" hidden="1" customWidth="1"/>
    <col min="9" max="9" style="1635" width="12.00390625" hidden="1" customWidth="1"/>
    <col min="10" max="10" style="1635" width="9.8515625" hidden="1" customWidth="1"/>
    <col min="11" max="11" style="1635" width="11.421875" hidden="1" customWidth="1"/>
    <col min="12" max="12" style="2125" width="19.140625" hidden="1" customWidth="1"/>
    <col min="13" max="14" style="2397" width="12.28125" hidden="1" customWidth="1"/>
    <col min="15" max="15" style="2397" width="23.421875" hidden="1" customWidth="1"/>
    <col min="16" max="16" style="2397" width="3.00390625" customWidth="1"/>
    <col min="17" max="18" style="344" width="3.00390625" customWidth="1"/>
    <col min="19" max="19" style="2407" width="12.00390625" customWidth="1"/>
    <col min="20" max="20" style="1635" width="31.00390625" customWidth="1"/>
    <col min="21" max="21" style="1635" width="0.140625" customWidth="1"/>
    <col min="22" max="22" style="1635" width="24.7109375" hidden="1" customWidth="1"/>
    <col min="23" max="23" style="1635" width="0.140625" hidden="1" customWidth="1"/>
    <col min="24" max="25" style="1635" width="24.7109375" hidden="1" customWidth="1"/>
    <col min="26" max="26" style="1635" width="11.7109375" hidden="1" customWidth="1"/>
    <col min="27" max="27" style="1635" width="3.7109375" hidden="1" customWidth="1"/>
    <col min="28" max="28" style="1635" width="11.7109375" hidden="1" customWidth="1"/>
    <col min="29" max="29" style="1635" width="8.57421875" hidden="1" customWidth="1"/>
    <col min="30" max="30" style="1635" width="24.7109375" customWidth="1"/>
    <col min="31" max="31" style="1635" width="0.140625" customWidth="1"/>
    <col min="32" max="33" style="1635" width="24.00390625" customWidth="1"/>
    <col min="34" max="34" style="1635" width="11.00390625" customWidth="1"/>
    <col min="35" max="35" style="1635" width="3.7109375" customWidth="1"/>
    <col min="36" max="36" style="1635" width="11.00390625" customWidth="1"/>
    <col min="37" max="37" style="1635" width="8.57421875" hidden="1" customWidth="1"/>
    <col min="38" max="38" style="1635" width="4.00390625" customWidth="1"/>
    <col min="39" max="39" style="1635" width="115.00390625" customWidth="1"/>
    <col min="40" max="44" style="1642" width="10.00390625" customWidth="1"/>
    <col min="45" max="45" style="1635" width="10.57421875" hidden="1"/>
  </cols>
  <sheetData>
    <row customHeight="1" ht="22.5" hidden="1">
      <c r="AS1" s="1631" t="s">
        <v>14</v>
      </c>
    </row>
    <row customHeight="1" ht="21" hidden="1">
      <c r="A2" s="1267"/>
      <c r="B2" s="1267"/>
      <c r="C2" s="1267"/>
      <c r="D2" s="1267"/>
      <c r="E2" s="2289">
        <v>1</v>
      </c>
      <c r="F2" s="1267"/>
      <c r="G2" s="1267"/>
      <c r="H2" s="1267"/>
      <c r="I2" s="1267"/>
      <c r="J2" s="1267"/>
      <c r="K2" s="1267"/>
      <c r="L2" s="1310"/>
      <c r="M2" s="1610"/>
      <c r="N2" s="1610"/>
      <c r="O2" s="1610"/>
      <c r="P2" s="1590"/>
      <c r="Q2" s="360"/>
      <c r="R2" s="355"/>
      <c r="S2" s="1958">
        <f>INDEX(PT_DIFFERENTIATION_NUM_NTAR,MATCH(A2,PT_DIFFERENTIATION_NTAR_ID,0))</f>
      </c>
      <c r="T2" s="1525" t="s">
        <v>127</v>
      </c>
      <c r="U2" s="300"/>
      <c r="V2" s="2242"/>
      <c r="W2" s="2243"/>
      <c r="X2" s="2243"/>
      <c r="Y2" s="2243"/>
      <c r="Z2" s="2243"/>
      <c r="AA2" s="2243"/>
      <c r="AB2" s="2243"/>
      <c r="AC2" s="2244"/>
      <c r="AD2" s="2242">
        <f>INDEX(PT_DIFFERENTIATION_NTAR,MATCH(A2,PT_DIFFERENTIATION_NTAR_ID,0))</f>
      </c>
      <c r="AE2" s="2243"/>
      <c r="AF2" s="2243"/>
      <c r="AG2" s="2243"/>
      <c r="AH2" s="2243"/>
      <c r="AI2" s="2243"/>
      <c r="AJ2" s="2243"/>
      <c r="AK2" s="2243"/>
      <c r="AL2" s="2244"/>
      <c r="AM2" s="1258" t="s">
        <v>398</v>
      </c>
      <c r="AO2" s="1624"/>
      <c r="AP2" s="1624" t="str">
        <f>IF(T2="","",T2)</f>
        <v>Наименование тарифа</v>
      </c>
      <c r="AQ2" s="1624"/>
      <c r="AR2" s="1624"/>
      <c r="AS2" s="1631">
        <v>0</v>
      </c>
    </row>
    <row customHeight="1" ht="21" hidden="1">
      <c r="A3" s="1267"/>
      <c r="B3" s="1267"/>
      <c r="C3" s="1267"/>
      <c r="D3" s="1267"/>
      <c r="E3" s="2290"/>
      <c r="F3" s="2289">
        <v>1</v>
      </c>
      <c r="G3" s="1267"/>
      <c r="H3" s="1267"/>
      <c r="I3" s="1267"/>
      <c r="J3" s="1267"/>
      <c r="K3" s="1267"/>
      <c r="L3" s="1310"/>
      <c r="M3" s="1610"/>
      <c r="N3" s="1610"/>
      <c r="O3" s="1610"/>
      <c r="P3" s="1940"/>
      <c r="Q3" s="352"/>
      <c r="R3" s="353"/>
      <c r="S3" s="1958">
        <f>INDEX(PT_DIFFERENTIATION_NUM_TER,MATCH(B3,PT_DIFFERENTIATION_TER_ID,0))</f>
      </c>
      <c r="T3" s="1522" t="s">
        <v>399</v>
      </c>
      <c r="U3" s="300"/>
      <c r="V3" s="2242"/>
      <c r="W3" s="2243"/>
      <c r="X3" s="2243"/>
      <c r="Y3" s="2243"/>
      <c r="Z3" s="2243"/>
      <c r="AA3" s="2243"/>
      <c r="AB3" s="2243"/>
      <c r="AC3" s="2244"/>
      <c r="AD3" s="2242">
        <f>INDEX(PT_DIFFERENTIATION_TER,MATCH(B3,PT_DIFFERENTIATION_TER_ID,0))</f>
      </c>
      <c r="AE3" s="2243"/>
      <c r="AF3" s="2243"/>
      <c r="AG3" s="2243"/>
      <c r="AH3" s="2243"/>
      <c r="AI3" s="2243"/>
      <c r="AJ3" s="2243"/>
      <c r="AK3" s="2243"/>
      <c r="AL3" s="2244"/>
      <c r="AM3" s="1258" t="s">
        <v>400</v>
      </c>
      <c r="AO3" s="1624"/>
      <c r="AP3" s="1624" t="str">
        <f>IF(T3="","",T3)</f>
        <v>Территория действия тарифа</v>
      </c>
      <c r="AQ3" s="1624"/>
      <c r="AR3" s="1624"/>
      <c r="AS3" s="1631">
        <v>0</v>
      </c>
    </row>
    <row customHeight="1" ht="23.25" hidden="1">
      <c r="A4" s="1267"/>
      <c r="B4" s="1267"/>
      <c r="C4" s="1267"/>
      <c r="D4" s="1267"/>
      <c r="E4" s="2290"/>
      <c r="F4" s="2290"/>
      <c r="G4" s="2289">
        <v>1</v>
      </c>
      <c r="H4" s="1267"/>
      <c r="I4" s="1267"/>
      <c r="J4" s="1267"/>
      <c r="K4" s="1267"/>
      <c r="L4" s="1310"/>
      <c r="M4" s="1610"/>
      <c r="N4" s="1610"/>
      <c r="O4" s="1610"/>
      <c r="P4" s="354"/>
      <c r="Q4" s="352"/>
      <c r="R4" s="353"/>
      <c r="S4" s="1958">
        <f>INDEX(PT_DIFFERENTIATION_NUM_CS,MATCH(C4,PT_DIFFERENTIATION_CS_ID,0))</f>
      </c>
      <c r="T4" s="309" t="s">
        <v>401</v>
      </c>
      <c r="U4" s="300"/>
      <c r="V4" s="2242"/>
      <c r="W4" s="2243"/>
      <c r="X4" s="2243"/>
      <c r="Y4" s="2243"/>
      <c r="Z4" s="2243"/>
      <c r="AA4" s="2243"/>
      <c r="AB4" s="2243"/>
      <c r="AC4" s="2244"/>
      <c r="AD4" s="2242">
        <f>INDEX(PT_DIFFERENTIATION_CS,MATCH(C4,PT_DIFFERENTIATION_CS_ID,0))</f>
      </c>
      <c r="AE4" s="2243"/>
      <c r="AF4" s="2243"/>
      <c r="AG4" s="2243"/>
      <c r="AH4" s="2243"/>
      <c r="AI4" s="2243"/>
      <c r="AJ4" s="2243"/>
      <c r="AK4" s="2243"/>
      <c r="AL4" s="2244"/>
      <c r="AM4" s="1258" t="s">
        <v>402</v>
      </c>
      <c r="AO4" s="1624"/>
      <c r="AP4" s="1624" t="str">
        <f>IF(T4="","",T4)</f>
        <v>Наименование системы теплоснабжения </v>
      </c>
      <c r="AQ4" s="1624"/>
      <c r="AR4" s="1624"/>
      <c r="AS4" s="1631">
        <v>0</v>
      </c>
    </row>
    <row customHeight="1" ht="21" hidden="1">
      <c r="A5" s="1267"/>
      <c r="B5" s="1267"/>
      <c r="C5" s="1267"/>
      <c r="D5" s="1267"/>
      <c r="E5" s="2290"/>
      <c r="F5" s="2290"/>
      <c r="G5" s="2290"/>
      <c r="H5" s="2289">
        <v>1</v>
      </c>
      <c r="I5" s="1267"/>
      <c r="J5" s="1267"/>
      <c r="K5" s="1267"/>
      <c r="L5" s="1310"/>
      <c r="M5" s="1610"/>
      <c r="N5" s="1610"/>
      <c r="O5" s="1610"/>
      <c r="P5" s="354"/>
      <c r="Q5" s="352"/>
      <c r="R5" s="353"/>
      <c r="S5" s="1958">
        <f>INDEX(PT_DIFFERENTIATION_NUM_IST_TE,MATCH(D5,PT_DIFFERENTIATION_IST_TE_ID,0))</f>
      </c>
      <c r="T5" s="310" t="s">
        <v>403</v>
      </c>
      <c r="U5" s="300"/>
      <c r="V5" s="2242"/>
      <c r="W5" s="2243"/>
      <c r="X5" s="2243"/>
      <c r="Y5" s="2243"/>
      <c r="Z5" s="2243"/>
      <c r="AA5" s="2243"/>
      <c r="AB5" s="2243"/>
      <c r="AC5" s="2244"/>
      <c r="AD5" s="2242">
        <f>INDEX(PT_DIFFERENTIATION_IST_TE,MATCH(D5,PT_DIFFERENTIATION_IST_TE_ID,0))</f>
      </c>
      <c r="AE5" s="2243"/>
      <c r="AF5" s="2243"/>
      <c r="AG5" s="2243"/>
      <c r="AH5" s="2243"/>
      <c r="AI5" s="2243"/>
      <c r="AJ5" s="2243"/>
      <c r="AK5" s="2243"/>
      <c r="AL5" s="2244"/>
      <c r="AM5" s="1258" t="s">
        <v>404</v>
      </c>
      <c r="AO5" s="1624"/>
      <c r="AP5" s="1624" t="str">
        <f>IF(T5="","",T5)</f>
        <v>Источник тепловой энергии  </v>
      </c>
      <c r="AQ5" s="1624"/>
      <c r="AR5" s="1624"/>
      <c r="AS5" s="1631">
        <v>0</v>
      </c>
    </row>
    <row customHeight="1" ht="47.25" hidden="1">
      <c r="A6" s="1267"/>
      <c r="B6" s="1267"/>
      <c r="C6" s="1267"/>
      <c r="D6" s="1267"/>
      <c r="E6" s="2290"/>
      <c r="F6" s="2290"/>
      <c r="G6" s="2290"/>
      <c r="H6" s="2290"/>
      <c r="I6" s="2127">
        <f>S5&amp;".1"</f>
      </c>
      <c r="J6" s="1267"/>
      <c r="K6" s="1267"/>
      <c r="L6" s="1310" t="s">
        <v>405</v>
      </c>
      <c r="M6" s="1635"/>
      <c r="P6" s="2257">
        <v>1</v>
      </c>
      <c r="Q6" s="1954"/>
      <c r="R6" s="356"/>
      <c r="S6" s="1958">
        <f>$I6</f>
      </c>
      <c r="T6" s="285" t="s">
        <v>406</v>
      </c>
      <c r="U6" s="300"/>
      <c r="V6" s="2245"/>
      <c r="W6" s="2246"/>
      <c r="X6" s="2246"/>
      <c r="Y6" s="2246"/>
      <c r="Z6" s="2246"/>
      <c r="AA6" s="2246"/>
      <c r="AB6" s="2246"/>
      <c r="AC6" s="2247"/>
      <c r="AD6" s="2245"/>
      <c r="AE6" s="2246"/>
      <c r="AF6" s="2246"/>
      <c r="AG6" s="2246"/>
      <c r="AH6" s="2246"/>
      <c r="AI6" s="2246"/>
      <c r="AJ6" s="2246"/>
      <c r="AK6" s="2246"/>
      <c r="AL6" s="2247"/>
      <c r="AM6" s="1258" t="s">
        <v>407</v>
      </c>
      <c r="AO6" s="1624"/>
      <c r="AP6" s="1624" t="str">
        <f>IF(T6="","",T6)</f>
        <v>Схема подключения теплопотребляющей установки к коллектору источника тепловой энергии</v>
      </c>
      <c r="AQ6" s="1624"/>
      <c r="AR6" s="1624"/>
      <c r="AS6" s="1631">
        <v>0</v>
      </c>
    </row>
    <row customHeight="1" ht="21" hidden="1">
      <c r="A7" s="1267"/>
      <c r="B7" s="1267"/>
      <c r="C7" s="1267"/>
      <c r="D7" s="1267"/>
      <c r="E7" s="2290"/>
      <c r="F7" s="2290"/>
      <c r="G7" s="2290"/>
      <c r="H7" s="2290"/>
      <c r="I7" s="2101"/>
      <c r="J7" s="2127">
        <f>I6&amp;".1"</f>
      </c>
      <c r="K7" s="1267"/>
      <c r="L7" s="1310" t="s">
        <v>408</v>
      </c>
      <c r="M7" s="1635"/>
      <c r="N7" s="1631"/>
      <c r="P7" s="2257"/>
      <c r="Q7" s="2257">
        <v>1</v>
      </c>
      <c r="R7" s="357"/>
      <c r="S7" s="1958">
        <f>$J7</f>
      </c>
      <c r="T7" s="286" t="s">
        <v>409</v>
      </c>
      <c r="U7" s="300"/>
      <c r="V7" s="2245"/>
      <c r="W7" s="2246"/>
      <c r="X7" s="2246"/>
      <c r="Y7" s="2246"/>
      <c r="Z7" s="2246"/>
      <c r="AA7" s="2246"/>
      <c r="AB7" s="2246"/>
      <c r="AC7" s="2247"/>
      <c r="AD7" s="2245"/>
      <c r="AE7" s="2246"/>
      <c r="AF7" s="2246"/>
      <c r="AG7" s="2246"/>
      <c r="AH7" s="2246"/>
      <c r="AI7" s="2246"/>
      <c r="AJ7" s="2246"/>
      <c r="AK7" s="2246"/>
      <c r="AL7" s="2247"/>
      <c r="AM7" s="1258" t="s">
        <v>410</v>
      </c>
      <c r="AO7" s="1624"/>
      <c r="AP7" s="1624" t="str">
        <f>IF(T7="","",T7)</f>
        <v>Группа потребителей</v>
      </c>
      <c r="AQ7" s="1624"/>
      <c r="AR7" s="1624"/>
      <c r="AS7" s="1631">
        <v>0</v>
      </c>
    </row>
    <row customHeight="1" ht="21" hidden="1">
      <c r="A8" s="1267"/>
      <c r="B8" s="1267"/>
      <c r="C8" s="1267"/>
      <c r="D8" s="1267"/>
      <c r="E8" s="2290"/>
      <c r="F8" s="2290"/>
      <c r="G8" s="2290"/>
      <c r="H8" s="2290"/>
      <c r="I8" s="2101"/>
      <c r="J8" s="2101"/>
      <c r="K8" s="2127">
        <f>J7&amp;".1"</f>
      </c>
      <c r="L8" s="1310" t="s">
        <v>411</v>
      </c>
      <c r="M8" s="1635"/>
      <c r="N8" s="1631"/>
      <c r="O8" s="1631"/>
      <c r="P8" s="2257"/>
      <c r="Q8" s="2257"/>
      <c r="R8" s="357">
        <v>1</v>
      </c>
      <c r="S8" s="1958">
        <f>$K8</f>
      </c>
      <c r="T8" s="1347"/>
      <c r="U8" s="300"/>
      <c r="V8" s="751"/>
      <c r="W8" s="325"/>
      <c r="X8" s="751"/>
      <c r="Y8" s="1257"/>
      <c r="Z8" s="2265"/>
      <c r="AA8" s="2107" t="s">
        <v>66</v>
      </c>
      <c r="AB8" s="2265"/>
      <c r="AC8" s="2107" t="s">
        <v>66</v>
      </c>
      <c r="AD8" s="751"/>
      <c r="AE8" s="325"/>
      <c r="AF8" s="751"/>
      <c r="AG8" s="1257"/>
      <c r="AH8" s="2265"/>
      <c r="AI8" s="2107" t="s">
        <v>66</v>
      </c>
      <c r="AJ8" s="2265"/>
      <c r="AK8" s="2107" t="s">
        <v>66</v>
      </c>
      <c r="AL8" s="325"/>
      <c r="AM8" s="2253" t="s">
        <v>412</v>
      </c>
      <c r="AN8" s="1636">
        <f>STRCHECKDATE(V9:AL9)</f>
      </c>
      <c r="AO8" s="1624"/>
      <c r="AP8" s="1624" t="str">
        <f>IF(T8="","",T8)</f>
        <v/>
      </c>
      <c r="AQ8" s="1624"/>
      <c r="AR8" s="1624"/>
      <c r="AS8" s="1631">
        <v>0</v>
      </c>
    </row>
    <row customHeight="1" ht="0.75" hidden="1">
      <c r="A9" s="1267"/>
      <c r="B9" s="1267"/>
      <c r="C9" s="1267"/>
      <c r="D9" s="1267"/>
      <c r="E9" s="2290"/>
      <c r="F9" s="2290"/>
      <c r="G9" s="2290"/>
      <c r="H9" s="2290"/>
      <c r="I9" s="2101"/>
      <c r="J9" s="2101"/>
      <c r="K9" s="2127"/>
      <c r="L9" s="1310"/>
      <c r="M9" s="1635"/>
      <c r="N9" s="1631"/>
      <c r="O9" s="1631"/>
      <c r="P9" s="2257"/>
      <c r="Q9" s="2257"/>
      <c r="R9" s="357"/>
      <c r="S9" s="1967"/>
      <c r="T9" s="300"/>
      <c r="U9" s="300"/>
      <c r="V9" s="325"/>
      <c r="W9" s="325"/>
      <c r="X9" s="325"/>
      <c r="Y9" s="328" t="str">
        <f>Z8&amp;"-"&amp;AB8</f>
        <v>-</v>
      </c>
      <c r="Z9" s="2266"/>
      <c r="AA9" s="2107"/>
      <c r="AB9" s="2266"/>
      <c r="AC9" s="2107"/>
      <c r="AD9" s="325"/>
      <c r="AE9" s="325"/>
      <c r="AF9" s="325"/>
      <c r="AG9" s="328" t="str">
        <f>AH8&amp;"-"&amp;AJ8</f>
        <v>-</v>
      </c>
      <c r="AH9" s="2266"/>
      <c r="AI9" s="2107"/>
      <c r="AJ9" s="2266"/>
      <c r="AK9" s="2107"/>
      <c r="AL9" s="325"/>
      <c r="AM9" s="2254"/>
      <c r="AO9" s="1624"/>
      <c r="AP9" s="1624" t="str">
        <f>IF(T9="","",T9)</f>
        <v/>
      </c>
      <c r="AQ9" s="1624"/>
      <c r="AR9" s="1624"/>
      <c r="AS9" s="1631">
        <v>0</v>
      </c>
    </row>
    <row customHeight="1" ht="15" hidden="1">
      <c r="A10" s="1267"/>
      <c r="B10" s="1267"/>
      <c r="C10" s="1267"/>
      <c r="D10" s="1267"/>
      <c r="E10" s="2290"/>
      <c r="F10" s="2290"/>
      <c r="G10" s="2290"/>
      <c r="H10" s="2290"/>
      <c r="I10" s="2101"/>
      <c r="J10" s="2127"/>
      <c r="K10" s="1267"/>
      <c r="L10" s="1310"/>
      <c r="M10" s="1635"/>
      <c r="N10" s="1631"/>
      <c r="P10" s="2257"/>
      <c r="Q10" s="2257"/>
      <c r="R10" s="356"/>
      <c r="S10" s="1278"/>
      <c r="T10" s="288" t="s">
        <v>413</v>
      </c>
      <c r="U10" s="600"/>
      <c r="V10" s="600"/>
      <c r="W10" s="600"/>
      <c r="X10" s="600"/>
      <c r="Y10" s="600"/>
      <c r="Z10" s="600"/>
      <c r="AA10" s="600"/>
      <c r="AB10" s="600"/>
      <c r="AC10" s="600"/>
      <c r="AD10" s="600"/>
      <c r="AE10" s="600"/>
      <c r="AF10" s="600"/>
      <c r="AG10" s="600"/>
      <c r="AH10" s="600"/>
      <c r="AI10" s="600"/>
      <c r="AJ10" s="600"/>
      <c r="AK10" s="600"/>
      <c r="AL10" s="324"/>
      <c r="AM10" s="2255"/>
      <c r="AO10" s="1624"/>
      <c r="AP10" s="1624" t="str">
        <f>IF(T10="","",T10)</f>
        <v>Добавить вид теплоносителя (параметры теплоносителя)</v>
      </c>
      <c r="AQ10" s="1624"/>
      <c r="AR10" s="1624"/>
      <c r="AS10" s="1631">
        <v>0</v>
      </c>
    </row>
    <row customHeight="1" ht="15" hidden="1">
      <c r="A11" s="1267"/>
      <c r="B11" s="1267"/>
      <c r="C11" s="1267"/>
      <c r="D11" s="1267"/>
      <c r="E11" s="2290"/>
      <c r="F11" s="2290"/>
      <c r="G11" s="2290"/>
      <c r="H11" s="2290"/>
      <c r="I11" s="2127"/>
      <c r="J11" s="1267"/>
      <c r="K11" s="1267"/>
      <c r="L11" s="1310"/>
      <c r="M11" s="1635"/>
      <c r="P11" s="2257"/>
      <c r="Q11" s="1954"/>
      <c r="R11" s="356"/>
      <c r="S11" s="1278"/>
      <c r="T11" s="287" t="s">
        <v>414</v>
      </c>
      <c r="U11" s="600"/>
      <c r="V11" s="600"/>
      <c r="W11" s="600"/>
      <c r="X11" s="600"/>
      <c r="Y11" s="600"/>
      <c r="Z11" s="600"/>
      <c r="AA11" s="600"/>
      <c r="AB11" s="600"/>
      <c r="AC11" s="366"/>
      <c r="AD11" s="600"/>
      <c r="AE11" s="600"/>
      <c r="AF11" s="600"/>
      <c r="AG11" s="600"/>
      <c r="AH11" s="600"/>
      <c r="AI11" s="600"/>
      <c r="AJ11" s="600"/>
      <c r="AK11" s="366"/>
      <c r="AL11" s="600"/>
      <c r="AM11" s="303"/>
      <c r="AO11" s="1624"/>
      <c r="AP11" s="1624" t="str">
        <f>IF(T11="","",T11)</f>
        <v>Добавить группу потребителей</v>
      </c>
      <c r="AQ11" s="1624"/>
      <c r="AR11" s="1624"/>
      <c r="AS11" s="1631">
        <v>0</v>
      </c>
    </row>
    <row customHeight="1" ht="14.25" hidden="1">
      <c r="A12" s="1267"/>
      <c r="B12" s="1267"/>
      <c r="C12" s="1267"/>
      <c r="D12" s="1267"/>
      <c r="E12" s="2290"/>
      <c r="F12" s="2290"/>
      <c r="G12" s="2290"/>
      <c r="H12" s="2289"/>
      <c r="I12" s="1267"/>
      <c r="J12" s="1267"/>
      <c r="K12" s="1267"/>
      <c r="L12" s="1310"/>
      <c r="M12" s="1610"/>
      <c r="N12" s="1610"/>
      <c r="O12" s="1635"/>
      <c r="P12" s="360"/>
      <c r="Q12" s="375"/>
      <c r="R12" s="355"/>
      <c r="S12" s="1278"/>
      <c r="T12" s="365" t="s">
        <v>415</v>
      </c>
      <c r="U12" s="600"/>
      <c r="V12" s="600"/>
      <c r="W12" s="600"/>
      <c r="X12" s="600"/>
      <c r="Y12" s="600"/>
      <c r="Z12" s="600"/>
      <c r="AA12" s="600"/>
      <c r="AB12" s="600"/>
      <c r="AC12" s="366"/>
      <c r="AD12" s="600"/>
      <c r="AE12" s="600"/>
      <c r="AF12" s="600"/>
      <c r="AG12" s="600"/>
      <c r="AH12" s="600"/>
      <c r="AI12" s="600"/>
      <c r="AJ12" s="600"/>
      <c r="AK12" s="366"/>
      <c r="AL12" s="600"/>
      <c r="AM12" s="303"/>
      <c r="AO12" s="1624"/>
      <c r="AP12" s="1624" t="str">
        <f>IF(T12="","",T12)</f>
        <v>Добавить схему подключения</v>
      </c>
      <c r="AQ12" s="1624"/>
      <c r="AR12" s="1624"/>
      <c r="AS12" s="1631">
        <v>0</v>
      </c>
    </row>
    <row s="1642" customFormat="1" customHeight="1" ht="0.75" hidden="1">
      <c r="A13" s="1974"/>
      <c r="B13" s="1974"/>
      <c r="C13" s="1974"/>
      <c r="D13" s="1974"/>
      <c r="E13" s="2290"/>
      <c r="F13" s="2290"/>
      <c r="G13" s="2289"/>
      <c r="H13" s="1974"/>
      <c r="I13" s="1974"/>
      <c r="J13" s="1974"/>
      <c r="K13" s="1974"/>
      <c r="L13" s="1380"/>
      <c r="M13" s="1610"/>
      <c r="N13" s="1610"/>
      <c r="O13" s="1635"/>
      <c r="P13" s="1316"/>
      <c r="Q13" s="1317"/>
      <c r="R13" s="1316"/>
      <c r="S13" s="1318"/>
      <c r="T13" s="1319" t="s">
        <v>416</v>
      </c>
      <c r="U13" s="1320"/>
      <c r="V13" s="1320"/>
      <c r="W13" s="1320"/>
      <c r="X13" s="1320"/>
      <c r="Y13" s="1320"/>
      <c r="Z13" s="1320"/>
      <c r="AA13" s="1320"/>
      <c r="AB13" s="1320"/>
      <c r="AC13" s="1320"/>
      <c r="AD13" s="1320"/>
      <c r="AE13" s="1320"/>
      <c r="AF13" s="1320"/>
      <c r="AG13" s="1320"/>
      <c r="AH13" s="1320"/>
      <c r="AI13" s="1320"/>
      <c r="AJ13" s="1320"/>
      <c r="AK13" s="1320"/>
      <c r="AL13" s="1320"/>
      <c r="AM13" s="1320"/>
      <c r="AO13" s="1251"/>
      <c r="AP13" s="1251" t="str">
        <f>IF(T13="","",T13)</f>
        <v>Добавить источник для дифференциации</v>
      </c>
      <c r="AQ13" s="1251"/>
      <c r="AR13" s="1251"/>
      <c r="AS13" s="1642">
        <v>0</v>
      </c>
    </row>
    <row s="1642" customFormat="1" customHeight="1" ht="0.75" hidden="1">
      <c r="A14" s="1974"/>
      <c r="B14" s="1974"/>
      <c r="C14" s="1974"/>
      <c r="D14" s="1974"/>
      <c r="E14" s="2290"/>
      <c r="F14" s="2289"/>
      <c r="G14" s="1974"/>
      <c r="H14" s="1974"/>
      <c r="I14" s="1974"/>
      <c r="J14" s="1974"/>
      <c r="K14" s="1974"/>
      <c r="L14" s="1380"/>
      <c r="M14" s="1975"/>
      <c r="N14" s="1975"/>
      <c r="O14" s="1635"/>
      <c r="P14" s="1316"/>
      <c r="Q14" s="1317"/>
      <c r="R14" s="1316"/>
      <c r="S14" s="1322"/>
      <c r="T14" s="1323" t="s">
        <v>417</v>
      </c>
      <c r="U14" s="1324"/>
      <c r="V14" s="1324"/>
      <c r="W14" s="1324"/>
      <c r="X14" s="1324"/>
      <c r="Y14" s="1324"/>
      <c r="Z14" s="1324"/>
      <c r="AA14" s="1324"/>
      <c r="AB14" s="1324"/>
      <c r="AC14" s="1324"/>
      <c r="AD14" s="1324"/>
      <c r="AE14" s="1324"/>
      <c r="AF14" s="1324"/>
      <c r="AG14" s="1324"/>
      <c r="AH14" s="1324"/>
      <c r="AI14" s="1324"/>
      <c r="AJ14" s="1324"/>
      <c r="AK14" s="1324"/>
      <c r="AL14" s="1324"/>
      <c r="AM14" s="1324"/>
      <c r="AO14" s="1251"/>
      <c r="AP14" s="1251" t="str">
        <f>IF(T14="","",T14)</f>
        <v>Добавить централизованную систему для дифференциации</v>
      </c>
      <c r="AQ14" s="1251"/>
      <c r="AR14" s="1251"/>
      <c r="AS14" s="1642">
        <v>0</v>
      </c>
    </row>
    <row s="1642" customFormat="1" customHeight="1" ht="0.75" hidden="1">
      <c r="A15" s="1974"/>
      <c r="B15" s="1974"/>
      <c r="C15" s="1974"/>
      <c r="D15" s="1974"/>
      <c r="E15" s="2289"/>
      <c r="F15" s="1974"/>
      <c r="G15" s="1974"/>
      <c r="H15" s="1974"/>
      <c r="I15" s="1974"/>
      <c r="J15" s="1974"/>
      <c r="K15" s="1974"/>
      <c r="L15" s="1380"/>
      <c r="M15" s="1975"/>
      <c r="N15" s="1975"/>
      <c r="O15" s="1635"/>
      <c r="P15" s="1316"/>
      <c r="Q15" s="1317"/>
      <c r="R15" s="1316"/>
      <c r="S15" s="1322"/>
      <c r="T15" s="1325" t="s">
        <v>418</v>
      </c>
      <c r="U15" s="1324"/>
      <c r="V15" s="1324"/>
      <c r="W15" s="1324"/>
      <c r="X15" s="1324"/>
      <c r="Y15" s="1324"/>
      <c r="Z15" s="1324"/>
      <c r="AA15" s="1324"/>
      <c r="AB15" s="1324"/>
      <c r="AC15" s="1324"/>
      <c r="AD15" s="1324"/>
      <c r="AE15" s="1324"/>
      <c r="AF15" s="1324"/>
      <c r="AG15" s="1324"/>
      <c r="AH15" s="1324"/>
      <c r="AI15" s="1324"/>
      <c r="AJ15" s="1324"/>
      <c r="AK15" s="1324"/>
      <c r="AL15" s="1324"/>
      <c r="AM15" s="1324"/>
      <c r="AO15" s="1251"/>
      <c r="AP15" s="1251" t="str">
        <f>IF(T15="","",T15)</f>
        <v>Добавить территорию для дифференциации</v>
      </c>
      <c r="AQ15" s="1251"/>
      <c r="AR15" s="1251"/>
      <c r="AS15" s="1642">
        <v>0</v>
      </c>
    </row>
    <row customHeight="1" ht="14.25" hidden="1">
      <c r="AS16" s="1631">
        <v>0</v>
      </c>
    </row>
    <row customHeight="1" ht="14.25" hidden="1">
      <c r="AD17" s="1360"/>
      <c r="AE17" s="1360"/>
      <c r="AF17" s="1360"/>
      <c r="AG17" s="1361"/>
      <c r="AH17" s="2267"/>
      <c r="AI17" s="2268" t="s">
        <v>66</v>
      </c>
      <c r="AJ17" s="2267"/>
      <c r="AK17" s="2268" t="s">
        <v>66</v>
      </c>
      <c r="AS17" s="1631">
        <v>0</v>
      </c>
    </row>
    <row customHeight="1" ht="14.25" hidden="1">
      <c r="AD18" s="1360"/>
      <c r="AE18" s="1360"/>
      <c r="AF18" s="1360"/>
      <c r="AG18" s="328" t="str">
        <f>AH17&amp;"-"&amp;AJ17</f>
        <v>-</v>
      </c>
      <c r="AH18" s="2268"/>
      <c r="AI18" s="2268"/>
      <c r="AJ18" s="2268"/>
      <c r="AK18" s="2268"/>
      <c r="AS18" s="1631">
        <v>0</v>
      </c>
    </row>
    <row customHeight="1" ht="14.25" hidden="1">
      <c r="AS19" s="1631">
        <v>0</v>
      </c>
    </row>
    <row s="1366" customFormat="1" customHeight="1" ht="14.25" hidden="1">
      <c r="A20" s="1631"/>
      <c r="B20" s="1631"/>
      <c r="C20" s="1631"/>
      <c r="D20" s="1631"/>
      <c r="E20" s="1631"/>
      <c r="F20" s="1631"/>
      <c r="G20" s="1631"/>
      <c r="H20" s="1631"/>
      <c r="I20" s="1631"/>
      <c r="J20" s="1631"/>
      <c r="K20" s="1631"/>
      <c r="L20" s="1939"/>
      <c r="M20" s="1965"/>
      <c r="N20" s="1965"/>
      <c r="O20" s="1345" t="s">
        <v>419</v>
      </c>
      <c r="P20" s="1362"/>
      <c r="Q20" s="1371"/>
      <c r="R20" s="1371"/>
      <c r="S20" s="729"/>
      <c r="Z20" s="1367"/>
      <c r="AB20" s="1367"/>
      <c r="AH20" s="1367"/>
      <c r="AJ20" s="1367"/>
      <c r="AN20" s="1636"/>
      <c r="AO20" s="1636"/>
      <c r="AP20" s="1636"/>
      <c r="AQ20" s="1636"/>
      <c r="AR20" s="1636"/>
      <c r="AS20" s="1366">
        <v>0</v>
      </c>
    </row>
    <row s="1366" customFormat="1" customHeight="1" ht="14.25" hidden="1">
      <c r="A21" s="1631"/>
      <c r="B21" s="1631"/>
      <c r="C21" s="1631"/>
      <c r="D21" s="1631"/>
      <c r="E21" s="1631"/>
      <c r="F21" s="1631"/>
      <c r="G21" s="1631"/>
      <c r="H21" s="1631"/>
      <c r="I21" s="1631"/>
      <c r="J21" s="1631"/>
      <c r="K21" s="1631"/>
      <c r="L21" s="1939"/>
      <c r="M21" s="1965"/>
      <c r="N21" s="1965"/>
      <c r="O21" s="1965"/>
      <c r="P21" s="1362"/>
      <c r="Q21" s="1371"/>
      <c r="R21" s="1371"/>
      <c r="S21" s="729"/>
      <c r="AN21" s="1636"/>
      <c r="AO21" s="1636"/>
      <c r="AP21" s="1636"/>
      <c r="AQ21" s="1636"/>
      <c r="AR21" s="1636"/>
      <c r="AS21" s="1366">
        <v>0</v>
      </c>
    </row>
    <row s="1366" customFormat="1" customHeight="1" ht="14.25" hidden="1">
      <c r="A22" s="1631"/>
      <c r="B22" s="1631"/>
      <c r="C22" s="1631"/>
      <c r="D22" s="1631"/>
      <c r="E22" s="1631"/>
      <c r="F22" s="1631"/>
      <c r="G22" s="1631"/>
      <c r="H22" s="1631"/>
      <c r="I22" s="1631"/>
      <c r="J22" s="1631"/>
      <c r="K22" s="1631"/>
      <c r="L22" s="1939"/>
      <c r="M22" s="1965"/>
      <c r="N22" s="1965"/>
      <c r="O22" s="1310" t="s">
        <v>420</v>
      </c>
      <c r="P22" s="1362"/>
      <c r="Q22" s="1371"/>
      <c r="R22" s="1371"/>
      <c r="S22" s="729"/>
      <c r="T22" s="1366" t="s">
        <v>421</v>
      </c>
      <c r="AA22" s="595" t="s">
        <v>422</v>
      </c>
      <c r="AC22" s="595" t="s">
        <v>423</v>
      </c>
      <c r="AD22" s="1366" t="s">
        <v>421</v>
      </c>
      <c r="AI22" s="595" t="s">
        <v>424</v>
      </c>
      <c r="AK22" s="595" t="s">
        <v>423</v>
      </c>
      <c r="AN22" s="1636"/>
      <c r="AO22" s="1636"/>
      <c r="AP22" s="1636"/>
      <c r="AQ22" s="1636"/>
      <c r="AR22" s="1636"/>
      <c r="AS22" s="1366">
        <v>0</v>
      </c>
    </row>
    <row customHeight="1" ht="14.25" hidden="1">
      <c r="O23" s="1310"/>
      <c r="AS23" s="1631">
        <v>0</v>
      </c>
    </row>
    <row customHeight="1" ht="14.25" hidden="1">
      <c r="O24" s="1310"/>
      <c r="AS24" s="1631">
        <v>0</v>
      </c>
    </row>
    <row customHeight="1" ht="14.699999999999998">
      <c r="Q25" s="376"/>
      <c r="R25" s="376"/>
      <c r="S25" s="1275"/>
      <c r="T25" s="457"/>
      <c r="U25" s="457"/>
      <c r="V25" s="1635"/>
      <c r="W25" s="1635"/>
      <c r="X25" s="1635"/>
      <c r="Y25" s="1635"/>
      <c r="Z25" s="1635"/>
      <c r="AA25" s="1635"/>
      <c r="AB25" s="1635"/>
      <c r="AC25" s="1635"/>
      <c r="AD25" s="1635"/>
      <c r="AE25" s="1635"/>
      <c r="AF25" s="1635"/>
      <c r="AG25" s="1635"/>
      <c r="AH25" s="1635"/>
      <c r="AI25" s="1635"/>
      <c r="AJ25" s="1635"/>
      <c r="AK25" s="1635"/>
      <c r="AS25" s="1631">
        <v>14</v>
      </c>
    </row>
    <row customHeight="1" ht="14.699999999999998">
      <c r="Q26" s="376"/>
      <c r="R26" s="376"/>
      <c r="S26" s="2248"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248"/>
      <c r="U26" s="2248"/>
      <c r="V26" s="2248"/>
      <c r="W26" s="2248"/>
      <c r="X26" s="2248"/>
      <c r="Y26" s="2248"/>
      <c r="Z26" s="2248"/>
      <c r="AA26" s="2248"/>
      <c r="AB26" s="2248"/>
      <c r="AC26" s="2248"/>
      <c r="AD26" s="2248"/>
      <c r="AE26" s="2248"/>
      <c r="AF26" s="2248"/>
      <c r="AG26" s="2248"/>
      <c r="AH26" s="2248"/>
      <c r="AI26" s="2248"/>
      <c r="AJ26" s="2248"/>
      <c r="AK26" s="1243"/>
      <c r="AS26" s="1631">
        <v>14</v>
      </c>
    </row>
    <row customHeight="1" ht="14.699999999999998">
      <c r="Q27" s="376"/>
      <c r="R27" s="376"/>
      <c r="S27" s="2249" t="str">
        <f>IF(org=0,"Не определено",org)</f>
        <v>ПАО "ОГК-2"</v>
      </c>
      <c r="T27" s="2249"/>
      <c r="U27" s="2249"/>
      <c r="V27" s="2249"/>
      <c r="W27" s="2249"/>
      <c r="X27" s="2249"/>
      <c r="Y27" s="2249"/>
      <c r="Z27" s="2249"/>
      <c r="AA27" s="2249"/>
      <c r="AB27" s="2249"/>
      <c r="AC27" s="2249"/>
      <c r="AD27" s="2249"/>
      <c r="AE27" s="2249"/>
      <c r="AF27" s="2249"/>
      <c r="AG27" s="2249"/>
      <c r="AH27" s="2249"/>
      <c r="AI27" s="2249"/>
      <c r="AJ27" s="2249"/>
      <c r="AK27" s="1243"/>
      <c r="AS27" s="1631">
        <v>14</v>
      </c>
    </row>
    <row customHeight="1" ht="14.25" hidden="1">
      <c r="Q28" s="376"/>
      <c r="R28" s="376"/>
      <c r="S28" s="1275"/>
      <c r="T28" s="457"/>
      <c r="U28" s="457"/>
      <c r="V28" s="322"/>
      <c r="W28" s="322"/>
      <c r="X28" s="322"/>
      <c r="Y28" s="322"/>
      <c r="Z28" s="322"/>
      <c r="AA28" s="322"/>
      <c r="AB28" s="322"/>
      <c r="AC28" s="322"/>
      <c r="AD28" s="322"/>
      <c r="AE28" s="322"/>
      <c r="AF28" s="322"/>
      <c r="AG28" s="322"/>
      <c r="AH28" s="322"/>
      <c r="AI28" s="322"/>
      <c r="AJ28" s="322"/>
      <c r="AK28" s="322"/>
      <c r="AL28" s="1635"/>
      <c r="AS28" s="1631">
        <v>0</v>
      </c>
    </row>
    <row s="1853" customFormat="1" customHeight="1" ht="25.5" hidden="1">
      <c r="A29" s="1248"/>
      <c r="B29" s="1248"/>
      <c r="C29" s="1248"/>
      <c r="D29" s="1248"/>
      <c r="E29" s="1248"/>
      <c r="F29" s="1248"/>
      <c r="G29" s="1248"/>
      <c r="H29" s="1248"/>
      <c r="I29" s="1248"/>
      <c r="J29" s="1248"/>
      <c r="K29" s="1248"/>
      <c r="L29" s="1380"/>
      <c r="M29" s="1248"/>
      <c r="N29" s="1248"/>
      <c r="O29" s="1248"/>
      <c r="S29" s="2250" t="s">
        <v>42</v>
      </c>
      <c r="T29" s="2250"/>
      <c r="U29" s="1372"/>
      <c r="V29" s="2251" t="str">
        <f>IF(TITLE_NAME_OR_PR_CHANGE="",IF(TITLE_NAME_OR_PR="","",TITLE_NAME_OR_PR),TITLE_NAME_OR_PR_CHANGE)</f>
        <v/>
      </c>
      <c r="W29" s="2251"/>
      <c r="X29" s="2251"/>
      <c r="Y29" s="2251"/>
      <c r="Z29" s="2251"/>
      <c r="AA29" s="2251"/>
      <c r="AB29" s="2251"/>
      <c r="AC29" s="1635"/>
      <c r="AD29" s="2251" t="str">
        <f>IF(TITLE_NAME_OR_PR_CHANGE="",IF(TITLE_NAME_OR_PR="","",TITLE_NAME_OR_PR),TITLE_NAME_OR_PR_CHANGE)</f>
        <v/>
      </c>
      <c r="AE29" s="2251"/>
      <c r="AF29" s="2251"/>
      <c r="AG29" s="2251"/>
      <c r="AH29" s="2251"/>
      <c r="AI29" s="2251"/>
      <c r="AJ29" s="2251"/>
      <c r="AK29" s="1635"/>
      <c r="AL29" s="1635"/>
      <c r="AM29" s="280"/>
      <c r="AN29" s="368"/>
      <c r="AO29" s="368"/>
      <c r="AP29" s="368"/>
      <c r="AQ29" s="368"/>
      <c r="AR29" s="368"/>
      <c r="AS29" s="418">
        <v>0</v>
      </c>
    </row>
    <row s="1853" customFormat="1" customHeight="1" ht="18.75" hidden="1">
      <c r="A30" s="1248"/>
      <c r="B30" s="1248"/>
      <c r="C30" s="1248"/>
      <c r="D30" s="1248"/>
      <c r="E30" s="1248"/>
      <c r="F30" s="1248"/>
      <c r="G30" s="1248"/>
      <c r="H30" s="1248"/>
      <c r="I30" s="1248"/>
      <c r="J30" s="1248"/>
      <c r="K30" s="1248"/>
      <c r="L30" s="1380"/>
      <c r="M30" s="1248"/>
      <c r="N30" s="1248"/>
      <c r="O30" s="1248"/>
      <c r="S30" s="2250" t="s">
        <v>425</v>
      </c>
      <c r="T30" s="2250"/>
      <c r="U30" s="1372"/>
      <c r="V30" s="2264" t="str">
        <f>IF(TITLE_DATE_PR_CHANGE="",IF(TITLE_DATE_PR="","",TITLE_DATE_PR),TITLE_DATE_PR_CHANGE)</f>
        <v/>
      </c>
      <c r="W30" s="2264"/>
      <c r="X30" s="2264"/>
      <c r="Y30" s="2264"/>
      <c r="Z30" s="2264"/>
      <c r="AA30" s="2264"/>
      <c r="AB30" s="2264"/>
      <c r="AC30" s="1635"/>
      <c r="AD30" s="2264" t="str">
        <f>IF(TITLE_DATE_PR_CHANGE="",IF(TITLE_DATE_PR="","",TITLE_DATE_PR),TITLE_DATE_PR_CHANGE)</f>
        <v/>
      </c>
      <c r="AE30" s="2264"/>
      <c r="AF30" s="2264"/>
      <c r="AG30" s="2264"/>
      <c r="AH30" s="2264"/>
      <c r="AI30" s="2264"/>
      <c r="AJ30" s="2264"/>
      <c r="AK30" s="1635"/>
      <c r="AL30" s="1635"/>
      <c r="AM30" s="280"/>
      <c r="AN30" s="368"/>
      <c r="AO30" s="368"/>
      <c r="AP30" s="368"/>
      <c r="AQ30" s="368"/>
      <c r="AR30" s="368"/>
      <c r="AS30" s="418">
        <v>0</v>
      </c>
    </row>
    <row s="1853" customFormat="1" customHeight="1" ht="18.75" hidden="1">
      <c r="A31" s="1248"/>
      <c r="B31" s="1248"/>
      <c r="C31" s="1248"/>
      <c r="D31" s="1248"/>
      <c r="E31" s="1248"/>
      <c r="F31" s="1248"/>
      <c r="G31" s="1248"/>
      <c r="H31" s="1248"/>
      <c r="I31" s="1248"/>
      <c r="J31" s="1248"/>
      <c r="K31" s="1248"/>
      <c r="L31" s="1380"/>
      <c r="M31" s="1248"/>
      <c r="N31" s="1248"/>
      <c r="O31" s="1248"/>
      <c r="S31" s="2250" t="s">
        <v>426</v>
      </c>
      <c r="T31" s="2250"/>
      <c r="U31" s="1372"/>
      <c r="V31" s="2251" t="str">
        <f>IF(TITLE_NUMBER_PR_CHANGE="",IF(TITLE_NUMBER_PR="","",TITLE_NUMBER_PR),TITLE_NUMBER_PR_CHANGE)</f>
        <v/>
      </c>
      <c r="W31" s="2251"/>
      <c r="X31" s="2251"/>
      <c r="Y31" s="2251"/>
      <c r="Z31" s="2251"/>
      <c r="AA31" s="2251"/>
      <c r="AB31" s="2251"/>
      <c r="AC31" s="1635"/>
      <c r="AD31" s="2251" t="str">
        <f>IF(TITLE_NUMBER_PR_CHANGE="",IF(TITLE_NUMBER_PR="","",TITLE_NUMBER_PR),TITLE_NUMBER_PR_CHANGE)</f>
        <v/>
      </c>
      <c r="AE31" s="2251"/>
      <c r="AF31" s="2251"/>
      <c r="AG31" s="2251"/>
      <c r="AH31" s="2251"/>
      <c r="AI31" s="2251"/>
      <c r="AJ31" s="2251"/>
      <c r="AK31" s="1635"/>
      <c r="AL31" s="1635"/>
      <c r="AM31" s="280"/>
      <c r="AN31" s="368"/>
      <c r="AO31" s="368"/>
      <c r="AP31" s="368"/>
      <c r="AQ31" s="368"/>
      <c r="AR31" s="368"/>
      <c r="AS31" s="418">
        <v>0</v>
      </c>
    </row>
    <row s="1853" customFormat="1" customHeight="1" ht="18.75" hidden="1">
      <c r="A32" s="1248"/>
      <c r="B32" s="1248"/>
      <c r="C32" s="1248"/>
      <c r="D32" s="1248"/>
      <c r="E32" s="1248"/>
      <c r="F32" s="1248"/>
      <c r="G32" s="1248"/>
      <c r="H32" s="1248"/>
      <c r="I32" s="1248"/>
      <c r="J32" s="1248"/>
      <c r="K32" s="1248"/>
      <c r="L32" s="1380"/>
      <c r="M32" s="1248"/>
      <c r="N32" s="1248"/>
      <c r="O32" s="1248"/>
      <c r="S32" s="2250" t="s">
        <v>43</v>
      </c>
      <c r="T32" s="2250"/>
      <c r="U32" s="1372"/>
      <c r="V32" s="2251" t="str">
        <f>IF(TITLE_IST_PUB_CHANGE="",IF(TITLE_IST_PUB="","",TITLE_IST_PUB),TITLE_IST_PUB_CHANGE)</f>
        <v/>
      </c>
      <c r="W32" s="2251"/>
      <c r="X32" s="2251"/>
      <c r="Y32" s="2251"/>
      <c r="Z32" s="2251"/>
      <c r="AA32" s="2251"/>
      <c r="AB32" s="2251"/>
      <c r="AC32" s="1635"/>
      <c r="AD32" s="2251" t="str">
        <f>IF(TITLE_IST_PUB_CHANGE="",IF(TITLE_IST_PUB="","",TITLE_IST_PUB),TITLE_IST_PUB_CHANGE)</f>
        <v/>
      </c>
      <c r="AE32" s="2251"/>
      <c r="AF32" s="2251"/>
      <c r="AG32" s="2251"/>
      <c r="AH32" s="2251"/>
      <c r="AI32" s="2251"/>
      <c r="AJ32" s="2251"/>
      <c r="AK32" s="1635"/>
      <c r="AL32" s="1635"/>
      <c r="AM32" s="280"/>
      <c r="AN32" s="368"/>
      <c r="AO32" s="368"/>
      <c r="AP32" s="368"/>
      <c r="AQ32" s="368"/>
      <c r="AR32" s="368"/>
      <c r="AS32" s="418">
        <v>0</v>
      </c>
    </row>
    <row customHeight="1" ht="14.25" hidden="1">
      <c r="Q33" s="376"/>
      <c r="R33" s="376"/>
      <c r="S33" s="1275"/>
      <c r="T33" s="457"/>
      <c r="U33" s="457"/>
      <c r="V33" s="322"/>
      <c r="W33" s="322"/>
      <c r="X33" s="322"/>
      <c r="Y33" s="322"/>
      <c r="Z33" s="322"/>
      <c r="AA33" s="322"/>
      <c r="AB33" s="322"/>
      <c r="AC33" s="322"/>
      <c r="AD33" s="322"/>
      <c r="AE33" s="322"/>
      <c r="AF33" s="322"/>
      <c r="AG33" s="322"/>
      <c r="AH33" s="322"/>
      <c r="AI33" s="322"/>
      <c r="AJ33" s="322"/>
      <c r="AK33" s="322"/>
      <c r="AL33" s="1635"/>
      <c r="AS33" s="1631">
        <v>0</v>
      </c>
    </row>
    <row s="1853" customFormat="1" customHeight="1" ht="18.75" hidden="1">
      <c r="A34" s="1248"/>
      <c r="B34" s="1248"/>
      <c r="C34" s="1248"/>
      <c r="D34" s="1248"/>
      <c r="E34" s="1248"/>
      <c r="F34" s="1248"/>
      <c r="G34" s="1248"/>
      <c r="H34" s="1248"/>
      <c r="I34" s="1248"/>
      <c r="J34" s="1248"/>
      <c r="K34" s="1248"/>
      <c r="L34" s="1380"/>
      <c r="M34" s="1248"/>
      <c r="N34" s="1248"/>
      <c r="O34" s="1248"/>
      <c r="S34" s="2250" t="s">
        <v>427</v>
      </c>
      <c r="T34" s="2250"/>
      <c r="U34" s="1372"/>
      <c r="V34" s="2264" t="str">
        <f>IF(TITLE_DATE_PR_CHANGE="",IF(TITLE_DATE_PR="","",TITLE_DATE_PR),TITLE_DATE_PR_CHANGE)</f>
        <v/>
      </c>
      <c r="W34" s="2264"/>
      <c r="X34" s="2264"/>
      <c r="Y34" s="2264"/>
      <c r="Z34" s="2264"/>
      <c r="AA34" s="2264"/>
      <c r="AB34" s="2264"/>
      <c r="AC34" s="1635"/>
      <c r="AD34" s="2264" t="str">
        <f>IF(TITLE_DATE_PR_CHANGE="",IF(TITLE_DATE_PR="","",TITLE_DATE_PR),TITLE_DATE_PR_CHANGE)</f>
        <v/>
      </c>
      <c r="AE34" s="2264"/>
      <c r="AF34" s="2264"/>
      <c r="AG34" s="2264"/>
      <c r="AH34" s="2264"/>
      <c r="AI34" s="2264"/>
      <c r="AJ34" s="2264"/>
      <c r="AK34" s="1635"/>
      <c r="AL34" s="1635"/>
      <c r="AM34" s="280"/>
      <c r="AN34" s="368"/>
      <c r="AO34" s="368"/>
      <c r="AP34" s="368"/>
      <c r="AQ34" s="368"/>
      <c r="AR34" s="368"/>
      <c r="AS34" s="418">
        <v>0</v>
      </c>
    </row>
    <row s="1853" customFormat="1" customHeight="1" ht="18.75" hidden="1">
      <c r="A35" s="1248"/>
      <c r="B35" s="1248"/>
      <c r="C35" s="1248"/>
      <c r="D35" s="1248"/>
      <c r="E35" s="1248"/>
      <c r="F35" s="1248"/>
      <c r="G35" s="1248"/>
      <c r="H35" s="1248"/>
      <c r="I35" s="1248"/>
      <c r="J35" s="1248"/>
      <c r="K35" s="1248"/>
      <c r="L35" s="1380"/>
      <c r="M35" s="1248"/>
      <c r="N35" s="1248"/>
      <c r="O35" s="1248"/>
      <c r="S35" s="2250" t="s">
        <v>428</v>
      </c>
      <c r="T35" s="2250"/>
      <c r="U35" s="1372"/>
      <c r="V35" s="2251" t="str">
        <f>IF(TITLE_NUMBER_PR_CHANGE="",IF(TITLE_NUMBER_PR="","",TITLE_NUMBER_PR),TITLE_NUMBER_PR_CHANGE)</f>
        <v/>
      </c>
      <c r="W35" s="2251"/>
      <c r="X35" s="2251"/>
      <c r="Y35" s="2251"/>
      <c r="Z35" s="2251"/>
      <c r="AA35" s="2251"/>
      <c r="AB35" s="2251"/>
      <c r="AC35" s="1635"/>
      <c r="AD35" s="2251" t="str">
        <f>IF(TITLE_NUMBER_PR_CHANGE="",IF(TITLE_NUMBER_PR="","",TITLE_NUMBER_PR),TITLE_NUMBER_PR_CHANGE)</f>
        <v/>
      </c>
      <c r="AE35" s="2251"/>
      <c r="AF35" s="2251"/>
      <c r="AG35" s="2251"/>
      <c r="AH35" s="2251"/>
      <c r="AI35" s="2251"/>
      <c r="AJ35" s="2251"/>
      <c r="AK35" s="1635"/>
      <c r="AL35" s="1635"/>
      <c r="AM35" s="280"/>
      <c r="AN35" s="368"/>
      <c r="AO35" s="368"/>
      <c r="AP35" s="368"/>
      <c r="AQ35" s="368"/>
      <c r="AR35" s="368"/>
      <c r="AS35" s="418">
        <v>0</v>
      </c>
    </row>
    <row s="1853" customFormat="1" customHeight="1" ht="0">
      <c r="A36" s="1248"/>
      <c r="B36" s="1248"/>
      <c r="C36" s="1248"/>
      <c r="D36" s="1248"/>
      <c r="E36" s="1248"/>
      <c r="F36" s="1248"/>
      <c r="G36" s="1248"/>
      <c r="H36" s="1248"/>
      <c r="I36" s="1248"/>
      <c r="J36" s="1248"/>
      <c r="K36" s="1248"/>
      <c r="L36" s="1380"/>
      <c r="M36" s="1248"/>
      <c r="N36" s="1248"/>
      <c r="O36" s="1248"/>
      <c r="S36" s="1635"/>
      <c r="T36" s="1635"/>
      <c r="U36" s="1970"/>
      <c r="V36" s="1635"/>
      <c r="W36" s="1635"/>
      <c r="X36" s="1635"/>
      <c r="Y36" s="1635"/>
      <c r="Z36" s="1635"/>
      <c r="AA36" s="1635"/>
      <c r="AB36" s="1635"/>
      <c r="AC36" s="1642" t="s">
        <v>429</v>
      </c>
      <c r="AD36" s="1635"/>
      <c r="AE36" s="1635"/>
      <c r="AF36" s="1635"/>
      <c r="AG36" s="1635"/>
      <c r="AH36" s="1635"/>
      <c r="AI36" s="1635"/>
      <c r="AJ36" s="1635"/>
      <c r="AK36" s="1642" t="s">
        <v>429</v>
      </c>
      <c r="AN36" s="368"/>
      <c r="AO36" s="368"/>
      <c r="AP36" s="368"/>
      <c r="AQ36" s="368"/>
      <c r="AR36" s="368"/>
      <c r="AS36" s="418">
        <v>0</v>
      </c>
    </row>
    <row customHeight="1" ht="14.699999999999998">
      <c r="Q37" s="376"/>
      <c r="R37" s="376"/>
      <c r="S37" s="1275"/>
      <c r="T37" s="457"/>
      <c r="U37" s="1244"/>
      <c r="V37" s="2252"/>
      <c r="W37" s="2252"/>
      <c r="X37" s="2252"/>
      <c r="Y37" s="2252"/>
      <c r="Z37" s="2252"/>
      <c r="AA37" s="2252"/>
      <c r="AB37" s="2252"/>
      <c r="AC37" s="2252"/>
      <c r="AD37" s="2252"/>
      <c r="AE37" s="2252"/>
      <c r="AF37" s="2252"/>
      <c r="AG37" s="2252"/>
      <c r="AH37" s="2252"/>
      <c r="AI37" s="2252"/>
      <c r="AJ37" s="2252"/>
      <c r="AK37" s="2252"/>
      <c r="AS37" s="1631">
        <v>14</v>
      </c>
    </row>
    <row customHeight="1" ht="14.699999999999998">
      <c r="Q38" s="376"/>
      <c r="R38" s="376"/>
      <c r="S38" s="2127" t="s">
        <v>302</v>
      </c>
      <c r="T38" s="2127"/>
      <c r="U38" s="2127"/>
      <c r="V38" s="2127"/>
      <c r="W38" s="2127"/>
      <c r="X38" s="2127"/>
      <c r="Y38" s="2127"/>
      <c r="Z38" s="2127"/>
      <c r="AA38" s="2127"/>
      <c r="AB38" s="2127"/>
      <c r="AC38" s="2127"/>
      <c r="AD38" s="2127"/>
      <c r="AE38" s="2127"/>
      <c r="AF38" s="2127"/>
      <c r="AG38" s="2127"/>
      <c r="AH38" s="2127"/>
      <c r="AI38" s="2127"/>
      <c r="AJ38" s="2127"/>
      <c r="AK38" s="2127"/>
      <c r="AL38" s="2127"/>
      <c r="AM38" s="2127" t="s">
        <v>303</v>
      </c>
      <c r="AS38" s="1631">
        <v>14</v>
      </c>
    </row>
    <row customHeight="1" ht="14.699999999999998">
      <c r="Q39" s="376"/>
      <c r="R39" s="376"/>
      <c r="S39" s="2273" t="s">
        <v>88</v>
      </c>
      <c r="T39" s="2209" t="s">
        <v>430</v>
      </c>
      <c r="U39" s="337"/>
      <c r="V39" s="2274" t="s">
        <v>431</v>
      </c>
      <c r="W39" s="2275"/>
      <c r="X39" s="2275"/>
      <c r="Y39" s="2275"/>
      <c r="Z39" s="2275"/>
      <c r="AA39" s="2275"/>
      <c r="AB39" s="2276"/>
      <c r="AC39" s="2277" t="s">
        <v>432</v>
      </c>
      <c r="AD39" s="2274" t="s">
        <v>431</v>
      </c>
      <c r="AE39" s="2275"/>
      <c r="AF39" s="2275"/>
      <c r="AG39" s="2275"/>
      <c r="AH39" s="2275"/>
      <c r="AI39" s="2275"/>
      <c r="AJ39" s="2276"/>
      <c r="AK39" s="2277" t="s">
        <v>433</v>
      </c>
      <c r="AL39" s="2280" t="s">
        <v>434</v>
      </c>
      <c r="AM39" s="2127"/>
      <c r="AS39" s="1631">
        <v>14</v>
      </c>
    </row>
    <row customHeight="1" ht="35.699999999999996">
      <c r="Q40" s="376"/>
      <c r="R40" s="376"/>
      <c r="S40" s="2273"/>
      <c r="T40" s="2209"/>
      <c r="U40" s="1031"/>
      <c r="V40" s="2260" t="s">
        <v>435</v>
      </c>
      <c r="W40" s="2283" t="s">
        <v>436</v>
      </c>
      <c r="X40" s="2262" t="s">
        <v>437</v>
      </c>
      <c r="Y40" s="2263"/>
      <c r="Z40" s="2262" t="s">
        <v>451</v>
      </c>
      <c r="AA40" s="2269"/>
      <c r="AB40" s="2263"/>
      <c r="AC40" s="2278"/>
      <c r="AD40" s="2260" t="s">
        <v>435</v>
      </c>
      <c r="AE40" s="2283" t="s">
        <v>436</v>
      </c>
      <c r="AF40" s="2262" t="s">
        <v>437</v>
      </c>
      <c r="AG40" s="2263"/>
      <c r="AH40" s="2262" t="s">
        <v>438</v>
      </c>
      <c r="AI40" s="2269"/>
      <c r="AJ40" s="2263"/>
      <c r="AK40" s="2278"/>
      <c r="AL40" s="2281"/>
      <c r="AM40" s="2127"/>
      <c r="AS40" s="1631">
        <v>34</v>
      </c>
    </row>
    <row customHeight="1" ht="35.699999999999996">
      <c r="A41" s="1266"/>
      <c r="B41" s="1266" t="s">
        <v>139</v>
      </c>
      <c r="C41" s="1266" t="s">
        <v>140</v>
      </c>
      <c r="D41" s="1266" t="s">
        <v>141</v>
      </c>
      <c r="E41" s="1310" t="s">
        <v>439</v>
      </c>
      <c r="F41" s="1310" t="s">
        <v>440</v>
      </c>
      <c r="G41" s="1310" t="s">
        <v>441</v>
      </c>
      <c r="H41" s="1310" t="s">
        <v>442</v>
      </c>
      <c r="I41" s="1310" t="s">
        <v>443</v>
      </c>
      <c r="J41" s="1310" t="s">
        <v>444</v>
      </c>
      <c r="K41" s="1310" t="s">
        <v>445</v>
      </c>
      <c r="L41" s="1310" t="s">
        <v>420</v>
      </c>
      <c r="Q41" s="376"/>
      <c r="R41" s="376"/>
      <c r="S41" s="2273"/>
      <c r="T41" s="2209"/>
      <c r="U41" s="302"/>
      <c r="V41" s="2261"/>
      <c r="W41" s="2284"/>
      <c r="X41" s="1938" t="s">
        <v>446</v>
      </c>
      <c r="Y41" s="1938" t="s">
        <v>447</v>
      </c>
      <c r="Z41" s="1938" t="s">
        <v>448</v>
      </c>
      <c r="AA41" s="2270" t="s">
        <v>449</v>
      </c>
      <c r="AB41" s="2271"/>
      <c r="AC41" s="2279"/>
      <c r="AD41" s="2261"/>
      <c r="AE41" s="2284"/>
      <c r="AF41" s="1938" t="s">
        <v>446</v>
      </c>
      <c r="AG41" s="1938" t="s">
        <v>447</v>
      </c>
      <c r="AH41" s="1938" t="s">
        <v>448</v>
      </c>
      <c r="AI41" s="2270" t="s">
        <v>449</v>
      </c>
      <c r="AJ41" s="2271"/>
      <c r="AK41" s="2279"/>
      <c r="AL41" s="2282"/>
      <c r="AM41" s="2127"/>
      <c r="AS41" s="1631">
        <v>34</v>
      </c>
    </row>
    <row s="1641" customFormat="1" customHeight="1" ht="11.25" hidden="1">
      <c r="A42" s="1266"/>
      <c r="B42" s="1266"/>
      <c r="C42" s="1266"/>
      <c r="D42" s="1266"/>
      <c r="E42" s="1266"/>
      <c r="F42" s="1266"/>
      <c r="G42" s="1266"/>
      <c r="H42" s="1266"/>
      <c r="I42" s="1266"/>
      <c r="J42" s="1266"/>
      <c r="K42" s="1266"/>
      <c r="L42" s="1310"/>
      <c r="M42" s="1965"/>
      <c r="N42" s="1965"/>
      <c r="O42" s="1965"/>
      <c r="P42" s="1246"/>
      <c r="Q42" s="1247"/>
      <c r="R42" s="1254">
        <v>1</v>
      </c>
      <c r="S42" s="1277" t="s">
        <v>109</v>
      </c>
      <c r="T42" s="1255" t="s">
        <v>110</v>
      </c>
      <c r="U42" s="1245" t="str">
        <f>OFFSET(U42,0,-1)</f>
        <v>2</v>
      </c>
      <c r="V42" s="1956">
        <f>OFFSET(V42,0,-1)+1</f>
        <v>3</v>
      </c>
      <c r="W42" s="1956"/>
      <c r="X42" s="1956">
        <f>OFFSET(X42,0,-1)+1</f>
        <v>1</v>
      </c>
      <c r="Y42" s="1956">
        <f>OFFSET(Y42,0,-1)+1</f>
        <v>2</v>
      </c>
      <c r="Z42" s="1956">
        <f>OFFSET(Z42,0,-1)+1</f>
        <v>3</v>
      </c>
      <c r="AA42" s="2272">
        <f>OFFSET(AA42,0,-1)+1</f>
        <v>4</v>
      </c>
      <c r="AB42" s="2272"/>
      <c r="AC42" s="1956">
        <f>OFFSET(AC42,0,-2)+1</f>
        <v>5</v>
      </c>
      <c r="AD42" s="1956">
        <f>OFFSET(AD42,0,-1)+1</f>
        <v>6</v>
      </c>
      <c r="AE42" s="1956"/>
      <c r="AF42" s="1956">
        <f>OFFSET(AF42,0,-1)+1</f>
        <v>1</v>
      </c>
      <c r="AG42" s="1956">
        <f>OFFSET(AG42,0,-1)+1</f>
        <v>2</v>
      </c>
      <c r="AH42" s="1956">
        <f>OFFSET(AH42,0,-1)+1</f>
        <v>3</v>
      </c>
      <c r="AI42" s="2272">
        <f>OFFSET(AI42,0,-1)+1</f>
        <v>4</v>
      </c>
      <c r="AJ42" s="2272"/>
      <c r="AK42" s="1956">
        <f>OFFSET(AK42,0,-2)+1</f>
        <v>5</v>
      </c>
      <c r="AL42" s="1245">
        <f>OFFSET(AL42,0,-1)</f>
        <v>5</v>
      </c>
      <c r="AM42" s="1956">
        <f>OFFSET(AM42,0,-1)+1</f>
        <v>6</v>
      </c>
      <c r="AN42" s="1636"/>
      <c r="AO42" s="1636"/>
      <c r="AP42" s="1636"/>
      <c r="AQ42" s="1636"/>
      <c r="AR42" s="1636"/>
      <c r="AS42" s="1641">
        <v>0</v>
      </c>
    </row>
    <row customHeight="1" ht="22.049999999999997">
      <c r="A43" s="1267" t="s">
        <v>214</v>
      </c>
      <c r="B43" s="1267"/>
      <c r="C43" s="1267"/>
      <c r="D43" s="1267"/>
      <c r="E43" s="2289">
        <v>1</v>
      </c>
      <c r="F43" s="1267"/>
      <c r="G43" s="1267"/>
      <c r="H43" s="1267"/>
      <c r="I43" s="1267"/>
      <c r="J43" s="1267"/>
      <c r="K43" s="1267"/>
      <c r="L43" s="1310"/>
      <c r="M43" s="1610"/>
      <c r="N43" s="1610"/>
      <c r="O43" s="1610"/>
      <c r="P43" s="1590"/>
      <c r="Q43" s="360"/>
      <c r="R43" s="355"/>
      <c r="S43" s="1958">
        <f>INDEX(PT_DIFFERENTIATION_NUM_NTAR,MATCH(A43,PT_DIFFERENTIATION_NTAR_ID,0))</f>
        <v>0</v>
      </c>
      <c r="T43" s="1525" t="s">
        <v>127</v>
      </c>
      <c r="U43" s="300"/>
      <c r="V43" s="2242"/>
      <c r="W43" s="2243"/>
      <c r="X43" s="2243"/>
      <c r="Y43" s="2243"/>
      <c r="Z43" s="2243"/>
      <c r="AA43" s="2243"/>
      <c r="AB43" s="2243"/>
      <c r="AC43" s="2244"/>
      <c r="AD43" s="2242" t="str">
        <f>INDEX(PT_DIFFERENTIATION_NTAR,MATCH(A43,PT_DIFFERENTIATION_NTAR_ID,0))</f>
        <v/>
      </c>
      <c r="AE43" s="2243"/>
      <c r="AF43" s="2243"/>
      <c r="AG43" s="2243"/>
      <c r="AH43" s="2243"/>
      <c r="AI43" s="2243"/>
      <c r="AJ43" s="2243"/>
      <c r="AK43" s="2243"/>
      <c r="AL43" s="2244"/>
      <c r="AM43" s="1258"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1624"/>
      <c r="AP43" s="1624" t="str">
        <f>IF(T43="","",T43)</f>
        <v>Наименование тарифа</v>
      </c>
      <c r="AQ43" s="1624"/>
      <c r="AR43" s="1624"/>
      <c r="AS43" s="1631">
        <v>21</v>
      </c>
    </row>
    <row customHeight="1" ht="22.049999999999997">
      <c r="A44" s="1267" t="s">
        <v>214</v>
      </c>
      <c r="B44" s="1267" t="s">
        <v>215</v>
      </c>
      <c r="C44" s="1267"/>
      <c r="D44" s="1267"/>
      <c r="E44" s="2290"/>
      <c r="F44" s="2289">
        <v>1</v>
      </c>
      <c r="G44" s="1267"/>
      <c r="H44" s="1267"/>
      <c r="I44" s="1267"/>
      <c r="J44" s="1267"/>
      <c r="K44" s="1267"/>
      <c r="L44" s="1310"/>
      <c r="M44" s="1610"/>
      <c r="N44" s="1610"/>
      <c r="O44" s="1610"/>
      <c r="P44" s="1940"/>
      <c r="Q44" s="352"/>
      <c r="R44" s="353"/>
      <c r="S44" s="1958" t="str">
        <f>INDEX(PT_DIFFERENTIATION_NUM_TER,MATCH(B44,PT_DIFFERENTIATION_TER_ID,0))</f>
        <v>.</v>
      </c>
      <c r="T44" s="1522" t="s">
        <v>399</v>
      </c>
      <c r="U44" s="300"/>
      <c r="V44" s="2242"/>
      <c r="W44" s="2243"/>
      <c r="X44" s="2243"/>
      <c r="Y44" s="2243"/>
      <c r="Z44" s="2243"/>
      <c r="AA44" s="2243"/>
      <c r="AB44" s="2243"/>
      <c r="AC44" s="2244"/>
      <c r="AD44" s="2242" t="str">
        <f>INDEX(PT_DIFFERENTIATION_TER,MATCH(B44,PT_DIFFERENTIATION_TER_ID,0))</f>
        <v/>
      </c>
      <c r="AE44" s="2243"/>
      <c r="AF44" s="2243"/>
      <c r="AG44" s="2243"/>
      <c r="AH44" s="2243"/>
      <c r="AI44" s="2243"/>
      <c r="AJ44" s="2243"/>
      <c r="AK44" s="2243"/>
      <c r="AL44" s="2244"/>
      <c r="AM44" s="1258" t="s">
        <v>400</v>
      </c>
      <c r="AO44" s="1624"/>
      <c r="AP44" s="1624" t="str">
        <f>IF(T44="","",T44)</f>
        <v>Территория действия тарифа</v>
      </c>
      <c r="AQ44" s="1624"/>
      <c r="AR44" s="1624"/>
      <c r="AS44" s="1631">
        <v>21</v>
      </c>
    </row>
    <row customHeight="1" ht="24">
      <c r="A45" s="1267" t="s">
        <v>214</v>
      </c>
      <c r="B45" s="1267" t="s">
        <v>215</v>
      </c>
      <c r="C45" s="1267" t="s">
        <v>216</v>
      </c>
      <c r="D45" s="1267"/>
      <c r="E45" s="2290"/>
      <c r="F45" s="2290"/>
      <c r="G45" s="2289">
        <v>1</v>
      </c>
      <c r="H45" s="1267"/>
      <c r="I45" s="1267"/>
      <c r="J45" s="1267"/>
      <c r="K45" s="1267"/>
      <c r="L45" s="1310"/>
      <c r="M45" s="1610"/>
      <c r="N45" s="1610"/>
      <c r="O45" s="1610"/>
      <c r="P45" s="354"/>
      <c r="Q45" s="352"/>
      <c r="R45" s="353"/>
      <c r="S45" s="1958" t="str">
        <f>INDEX(PT_DIFFERENTIATION_NUM_CS,MATCH(C45,PT_DIFFERENTIATION_CS_ID,0))</f>
        <v>..</v>
      </c>
      <c r="T45" s="309" t="s">
        <v>401</v>
      </c>
      <c r="U45" s="300"/>
      <c r="V45" s="2242"/>
      <c r="W45" s="2243"/>
      <c r="X45" s="2243"/>
      <c r="Y45" s="2243"/>
      <c r="Z45" s="2243"/>
      <c r="AA45" s="2243"/>
      <c r="AB45" s="2243"/>
      <c r="AC45" s="2244"/>
      <c r="AD45" s="2242" t="str">
        <f>INDEX(PT_DIFFERENTIATION_CS,MATCH(C45,PT_DIFFERENTIATION_CS_ID,0))</f>
        <v/>
      </c>
      <c r="AE45" s="2243"/>
      <c r="AF45" s="2243"/>
      <c r="AG45" s="2243"/>
      <c r="AH45" s="2243"/>
      <c r="AI45" s="2243"/>
      <c r="AJ45" s="2243"/>
      <c r="AK45" s="2243"/>
      <c r="AL45" s="2244"/>
      <c r="AM45" s="1258" t="s">
        <v>402</v>
      </c>
      <c r="AO45" s="1624"/>
      <c r="AP45" s="1624" t="str">
        <f>IF(T45="","",T45)</f>
        <v>Наименование системы теплоснабжения </v>
      </c>
      <c r="AQ45" s="1624"/>
      <c r="AR45" s="1624"/>
      <c r="AS45" s="1631">
        <v>23</v>
      </c>
    </row>
    <row customHeight="1" ht="22.049999999999997">
      <c r="A46" s="1267" t="s">
        <v>214</v>
      </c>
      <c r="B46" s="1267" t="s">
        <v>215</v>
      </c>
      <c r="C46" s="1267" t="s">
        <v>216</v>
      </c>
      <c r="D46" s="1267" t="s">
        <v>217</v>
      </c>
      <c r="E46" s="2290"/>
      <c r="F46" s="2290"/>
      <c r="G46" s="2290"/>
      <c r="H46" s="2289">
        <v>1</v>
      </c>
      <c r="I46" s="1267"/>
      <c r="J46" s="1267"/>
      <c r="K46" s="1267"/>
      <c r="L46" s="1310"/>
      <c r="M46" s="1610"/>
      <c r="N46" s="1610"/>
      <c r="O46" s="1610"/>
      <c r="P46" s="354"/>
      <c r="Q46" s="352"/>
      <c r="R46" s="353"/>
      <c r="S46" s="1958" t="str">
        <f>INDEX(PT_DIFFERENTIATION_NUM_IST_TE,MATCH(D46,PT_DIFFERENTIATION_IST_TE_ID,0))</f>
        <v>...</v>
      </c>
      <c r="T46" s="310" t="s">
        <v>403</v>
      </c>
      <c r="U46" s="300"/>
      <c r="V46" s="2242"/>
      <c r="W46" s="2243"/>
      <c r="X46" s="2243"/>
      <c r="Y46" s="2243"/>
      <c r="Z46" s="2243"/>
      <c r="AA46" s="2243"/>
      <c r="AB46" s="2243"/>
      <c r="AC46" s="2244"/>
      <c r="AD46" s="2242" t="str">
        <f>INDEX(PT_DIFFERENTIATION_IST_TE,MATCH(D46,PT_DIFFERENTIATION_IST_TE_ID,0))</f>
        <v/>
      </c>
      <c r="AE46" s="2243"/>
      <c r="AF46" s="2243"/>
      <c r="AG46" s="2243"/>
      <c r="AH46" s="2243"/>
      <c r="AI46" s="2243"/>
      <c r="AJ46" s="2243"/>
      <c r="AK46" s="2243"/>
      <c r="AL46" s="2244"/>
      <c r="AM46" s="1258" t="s">
        <v>404</v>
      </c>
      <c r="AO46" s="1624"/>
      <c r="AP46" s="1624" t="str">
        <f>IF(T46="","",T46)</f>
        <v>Источник тепловой энергии  </v>
      </c>
      <c r="AQ46" s="1624"/>
      <c r="AR46" s="1624"/>
      <c r="AS46" s="1631">
        <v>21</v>
      </c>
    </row>
    <row customHeight="1" ht="49.5">
      <c r="A47" s="1267" t="s">
        <v>214</v>
      </c>
      <c r="B47" s="1267" t="s">
        <v>215</v>
      </c>
      <c r="C47" s="1267" t="s">
        <v>216</v>
      </c>
      <c r="D47" s="1267" t="s">
        <v>217</v>
      </c>
      <c r="E47" s="2290"/>
      <c r="F47" s="2290"/>
      <c r="G47" s="2290"/>
      <c r="H47" s="2290"/>
      <c r="I47" s="2127" t="str">
        <f>S46&amp;".1"</f>
        <v>....1</v>
      </c>
      <c r="J47" s="1267"/>
      <c r="K47" s="1267"/>
      <c r="L47" s="1310" t="s">
        <v>405</v>
      </c>
      <c r="P47" s="2257">
        <v>1</v>
      </c>
      <c r="Q47" s="1954"/>
      <c r="R47" s="356"/>
      <c r="S47" s="1958" t="str">
        <f>$I47</f>
        <v>....1</v>
      </c>
      <c r="T47" s="285" t="s">
        <v>406</v>
      </c>
      <c r="U47" s="300"/>
      <c r="V47" s="2245"/>
      <c r="W47" s="2246"/>
      <c r="X47" s="2246"/>
      <c r="Y47" s="2246"/>
      <c r="Z47" s="2246"/>
      <c r="AA47" s="2246"/>
      <c r="AB47" s="2246"/>
      <c r="AC47" s="2247"/>
      <c r="AD47" s="2245"/>
      <c r="AE47" s="2246"/>
      <c r="AF47" s="2246"/>
      <c r="AG47" s="2246"/>
      <c r="AH47" s="2246"/>
      <c r="AI47" s="2246"/>
      <c r="AJ47" s="2246"/>
      <c r="AK47" s="2246"/>
      <c r="AL47" s="2247"/>
      <c r="AM47" s="1258" t="s">
        <v>407</v>
      </c>
      <c r="AO47" s="1624"/>
      <c r="AP47" s="1624" t="str">
        <f>IF(T47="","",T47)</f>
        <v>Схема подключения теплопотребляющей установки к коллектору источника тепловой энергии</v>
      </c>
      <c r="AQ47" s="1624"/>
      <c r="AR47" s="1624"/>
      <c r="AS47" s="1631">
        <v>47</v>
      </c>
    </row>
    <row customHeight="1" ht="22.049999999999997">
      <c r="A48" s="1267" t="s">
        <v>214</v>
      </c>
      <c r="B48" s="1267" t="s">
        <v>215</v>
      </c>
      <c r="C48" s="1267" t="s">
        <v>216</v>
      </c>
      <c r="D48" s="1267" t="s">
        <v>217</v>
      </c>
      <c r="E48" s="2290"/>
      <c r="F48" s="2290"/>
      <c r="G48" s="2290"/>
      <c r="H48" s="2290"/>
      <c r="I48" s="2101"/>
      <c r="J48" s="2127" t="str">
        <f>I47&amp;".1"</f>
        <v>....1.1</v>
      </c>
      <c r="K48" s="1267"/>
      <c r="L48" s="1310" t="s">
        <v>408</v>
      </c>
      <c r="P48" s="2257"/>
      <c r="Q48" s="2257">
        <v>1</v>
      </c>
      <c r="R48" s="357"/>
      <c r="S48" s="1958" t="str">
        <f>$J48</f>
        <v>....1.1</v>
      </c>
      <c r="T48" s="286" t="s">
        <v>409</v>
      </c>
      <c r="U48" s="300"/>
      <c r="V48" s="2245"/>
      <c r="W48" s="2246"/>
      <c r="X48" s="2246"/>
      <c r="Y48" s="2246"/>
      <c r="Z48" s="2246"/>
      <c r="AA48" s="2246"/>
      <c r="AB48" s="2246"/>
      <c r="AC48" s="2247"/>
      <c r="AD48" s="2245"/>
      <c r="AE48" s="2246"/>
      <c r="AF48" s="2246"/>
      <c r="AG48" s="2246"/>
      <c r="AH48" s="2246"/>
      <c r="AI48" s="2246"/>
      <c r="AJ48" s="2246"/>
      <c r="AK48" s="2246"/>
      <c r="AL48" s="2247"/>
      <c r="AM48" s="1258" t="s">
        <v>410</v>
      </c>
      <c r="AO48" s="1624"/>
      <c r="AP48" s="1624" t="str">
        <f>IF(T48="","",T48)</f>
        <v>Группа потребителей</v>
      </c>
      <c r="AQ48" s="1624"/>
      <c r="AR48" s="1624"/>
      <c r="AS48" s="1631">
        <v>21</v>
      </c>
    </row>
    <row customHeight="1" ht="22.049999999999997">
      <c r="A49" s="1267" t="s">
        <v>214</v>
      </c>
      <c r="B49" s="1267" t="s">
        <v>215</v>
      </c>
      <c r="C49" s="1267" t="s">
        <v>216</v>
      </c>
      <c r="D49" s="1267" t="s">
        <v>217</v>
      </c>
      <c r="E49" s="2290"/>
      <c r="F49" s="2290"/>
      <c r="G49" s="2290"/>
      <c r="H49" s="2290"/>
      <c r="I49" s="2101"/>
      <c r="J49" s="2101"/>
      <c r="K49" s="2127" t="str">
        <f>J48&amp;".1"</f>
        <v>....1.1.1</v>
      </c>
      <c r="L49" s="1310" t="s">
        <v>411</v>
      </c>
      <c r="P49" s="2257"/>
      <c r="Q49" s="2257"/>
      <c r="R49" s="357">
        <v>1</v>
      </c>
      <c r="S49" s="1958" t="str">
        <f>$K49</f>
        <v>....1.1.1</v>
      </c>
      <c r="T49" s="1347"/>
      <c r="U49" s="300"/>
      <c r="V49" s="751"/>
      <c r="W49" s="325"/>
      <c r="X49" s="751"/>
      <c r="Y49" s="1257"/>
      <c r="Z49" s="2265"/>
      <c r="AA49" s="2107" t="s">
        <v>66</v>
      </c>
      <c r="AB49" s="2265"/>
      <c r="AC49" s="2107" t="s">
        <v>66</v>
      </c>
      <c r="AD49" s="751"/>
      <c r="AE49" s="325"/>
      <c r="AF49" s="751"/>
      <c r="AG49" s="1257"/>
      <c r="AH49" s="2265"/>
      <c r="AI49" s="2107" t="s">
        <v>66</v>
      </c>
      <c r="AJ49" s="2287"/>
      <c r="AK49" s="2107" t="s">
        <v>66</v>
      </c>
      <c r="AL49" s="1348"/>
      <c r="AM49" s="2253" t="s">
        <v>412</v>
      </c>
      <c r="AN49" s="1636">
        <f>STRCHECKDATE(V50:AL50)</f>
      </c>
      <c r="AO49" s="1624"/>
      <c r="AP49" s="1624" t="str">
        <f>IF(T49="","",T49)</f>
        <v/>
      </c>
      <c r="AQ49" s="1624"/>
      <c r="AR49" s="1624"/>
      <c r="AS49" s="1631">
        <v>21</v>
      </c>
    </row>
    <row customHeight="1" ht="1.05">
      <c r="A50" s="1267" t="s">
        <v>214</v>
      </c>
      <c r="B50" s="1267" t="s">
        <v>215</v>
      </c>
      <c r="C50" s="1267" t="s">
        <v>216</v>
      </c>
      <c r="D50" s="1267" t="s">
        <v>217</v>
      </c>
      <c r="E50" s="2290"/>
      <c r="F50" s="2290"/>
      <c r="G50" s="2290"/>
      <c r="H50" s="2290"/>
      <c r="I50" s="2101"/>
      <c r="J50" s="2101"/>
      <c r="K50" s="2127"/>
      <c r="L50" s="1310"/>
      <c r="P50" s="2257"/>
      <c r="Q50" s="2257"/>
      <c r="R50" s="357"/>
      <c r="S50" s="1967"/>
      <c r="T50" s="300"/>
      <c r="U50" s="300"/>
      <c r="V50" s="325"/>
      <c r="W50" s="325"/>
      <c r="X50" s="325"/>
      <c r="Y50" s="328" t="str">
        <f>Z49&amp;"-"&amp;AB49</f>
        <v>-</v>
      </c>
      <c r="Z50" s="2266"/>
      <c r="AA50" s="2107"/>
      <c r="AB50" s="2266"/>
      <c r="AC50" s="2107"/>
      <c r="AD50" s="325"/>
      <c r="AE50" s="325"/>
      <c r="AF50" s="325"/>
      <c r="AG50" s="328" t="str">
        <f>AH49&amp;"-"&amp;AJ49</f>
        <v>-</v>
      </c>
      <c r="AH50" s="2266"/>
      <c r="AI50" s="2107"/>
      <c r="AJ50" s="2288"/>
      <c r="AK50" s="2107"/>
      <c r="AL50" s="1349"/>
      <c r="AM50" s="2254"/>
      <c r="AO50" s="1624"/>
      <c r="AP50" s="1624" t="str">
        <f>IF(T50="","",T50)</f>
        <v/>
      </c>
      <c r="AQ50" s="1624"/>
      <c r="AR50" s="1624"/>
      <c r="AS50" s="1631">
        <v>1</v>
      </c>
    </row>
    <row customHeight="1" ht="11.549999999999999">
      <c r="A51" s="1267" t="s">
        <v>214</v>
      </c>
      <c r="B51" s="1267" t="s">
        <v>215</v>
      </c>
      <c r="C51" s="1267" t="s">
        <v>216</v>
      </c>
      <c r="D51" s="1267" t="s">
        <v>217</v>
      </c>
      <c r="E51" s="2290"/>
      <c r="F51" s="2290"/>
      <c r="G51" s="2290"/>
      <c r="H51" s="2290"/>
      <c r="I51" s="2101"/>
      <c r="J51" s="2127"/>
      <c r="K51" s="1267"/>
      <c r="L51" s="1310"/>
      <c r="P51" s="2257"/>
      <c r="Q51" s="2257"/>
      <c r="R51" s="356"/>
      <c r="S51" s="1278"/>
      <c r="T51" s="288" t="s">
        <v>413</v>
      </c>
      <c r="U51" s="600"/>
      <c r="V51" s="600"/>
      <c r="W51" s="600"/>
      <c r="X51" s="600"/>
      <c r="Y51" s="600"/>
      <c r="Z51" s="600"/>
      <c r="AA51" s="600"/>
      <c r="AB51" s="600"/>
      <c r="AC51" s="600"/>
      <c r="AD51" s="600"/>
      <c r="AE51" s="600"/>
      <c r="AF51" s="600"/>
      <c r="AG51" s="600"/>
      <c r="AH51" s="600"/>
      <c r="AI51" s="600"/>
      <c r="AJ51" s="600"/>
      <c r="AK51" s="600"/>
      <c r="AL51" s="324"/>
      <c r="AM51" s="2255"/>
      <c r="AO51" s="1624"/>
      <c r="AP51" s="1624" t="str">
        <f>IF(T51="","",T51)</f>
        <v>Добавить вид теплоносителя (параметры теплоносителя)</v>
      </c>
      <c r="AQ51" s="1624"/>
      <c r="AR51" s="1624"/>
      <c r="AS51" s="1631">
        <v>11</v>
      </c>
    </row>
    <row customHeight="1" ht="11.549999999999999">
      <c r="A52" s="1267" t="s">
        <v>214</v>
      </c>
      <c r="B52" s="1267" t="s">
        <v>215</v>
      </c>
      <c r="C52" s="1267" t="s">
        <v>216</v>
      </c>
      <c r="D52" s="1267" t="s">
        <v>217</v>
      </c>
      <c r="E52" s="2290"/>
      <c r="F52" s="2290"/>
      <c r="G52" s="2290"/>
      <c r="H52" s="2290"/>
      <c r="I52" s="2127"/>
      <c r="J52" s="1267"/>
      <c r="K52" s="1267"/>
      <c r="L52" s="1310"/>
      <c r="P52" s="2257"/>
      <c r="Q52" s="1954"/>
      <c r="R52" s="356"/>
      <c r="S52" s="1278"/>
      <c r="T52" s="287" t="s">
        <v>414</v>
      </c>
      <c r="U52" s="600"/>
      <c r="V52" s="600"/>
      <c r="W52" s="600"/>
      <c r="X52" s="600"/>
      <c r="Y52" s="600"/>
      <c r="Z52" s="600"/>
      <c r="AA52" s="600"/>
      <c r="AB52" s="600"/>
      <c r="AC52" s="366"/>
      <c r="AD52" s="600"/>
      <c r="AE52" s="600"/>
      <c r="AF52" s="600"/>
      <c r="AG52" s="600"/>
      <c r="AH52" s="600"/>
      <c r="AI52" s="600"/>
      <c r="AJ52" s="600"/>
      <c r="AK52" s="366"/>
      <c r="AL52" s="600"/>
      <c r="AM52" s="303"/>
      <c r="AO52" s="1624"/>
      <c r="AP52" s="1624" t="str">
        <f>IF(T52="","",T52)</f>
        <v>Добавить группу потребителей</v>
      </c>
      <c r="AQ52" s="1624"/>
      <c r="AR52" s="1624"/>
      <c r="AS52" s="1631">
        <v>11</v>
      </c>
    </row>
    <row customHeight="1" ht="14.699999999999998">
      <c r="A53" s="1267" t="s">
        <v>214</v>
      </c>
      <c r="B53" s="1267" t="s">
        <v>215</v>
      </c>
      <c r="C53" s="1267" t="s">
        <v>216</v>
      </c>
      <c r="D53" s="1267" t="s">
        <v>217</v>
      </c>
      <c r="E53" s="2290"/>
      <c r="F53" s="2290"/>
      <c r="G53" s="2290"/>
      <c r="H53" s="2289"/>
      <c r="I53" s="1267"/>
      <c r="J53" s="1267"/>
      <c r="K53" s="1267"/>
      <c r="L53" s="1310"/>
      <c r="M53" s="1610"/>
      <c r="N53" s="1610"/>
      <c r="O53" s="1635"/>
      <c r="P53" s="360"/>
      <c r="Q53" s="375"/>
      <c r="R53" s="355"/>
      <c r="S53" s="1278"/>
      <c r="T53" s="365" t="s">
        <v>415</v>
      </c>
      <c r="U53" s="600"/>
      <c r="V53" s="600"/>
      <c r="W53" s="600"/>
      <c r="X53" s="600"/>
      <c r="Y53" s="600"/>
      <c r="Z53" s="600"/>
      <c r="AA53" s="600"/>
      <c r="AB53" s="600"/>
      <c r="AC53" s="366"/>
      <c r="AD53" s="600"/>
      <c r="AE53" s="600"/>
      <c r="AF53" s="600"/>
      <c r="AG53" s="600"/>
      <c r="AH53" s="600"/>
      <c r="AI53" s="600"/>
      <c r="AJ53" s="600"/>
      <c r="AK53" s="366"/>
      <c r="AL53" s="600"/>
      <c r="AM53" s="303"/>
      <c r="AO53" s="1624"/>
      <c r="AP53" s="1624" t="str">
        <f>IF(T53="","",T53)</f>
        <v>Добавить схему подключения</v>
      </c>
      <c r="AQ53" s="1624"/>
      <c r="AR53" s="1624"/>
      <c r="AS53" s="1631">
        <v>14</v>
      </c>
    </row>
    <row s="1642" customFormat="1" customHeight="1" ht="1.05">
      <c r="A54" s="1267" t="s">
        <v>214</v>
      </c>
      <c r="B54" s="1267" t="s">
        <v>215</v>
      </c>
      <c r="C54" s="1267" t="s">
        <v>216</v>
      </c>
      <c r="D54" s="1974"/>
      <c r="E54" s="2290"/>
      <c r="F54" s="2290"/>
      <c r="G54" s="2289"/>
      <c r="H54" s="1974"/>
      <c r="I54" s="1974"/>
      <c r="J54" s="1974"/>
      <c r="K54" s="1974"/>
      <c r="L54" s="1380"/>
      <c r="M54" s="1610"/>
      <c r="N54" s="1610"/>
      <c r="O54" s="1635"/>
      <c r="P54" s="1316"/>
      <c r="Q54" s="1317"/>
      <c r="R54" s="1316"/>
      <c r="S54" s="1322"/>
      <c r="T54" s="1325" t="s">
        <v>416</v>
      </c>
      <c r="U54" s="1324"/>
      <c r="V54" s="1324"/>
      <c r="W54" s="1324"/>
      <c r="X54" s="1324"/>
      <c r="Y54" s="1324"/>
      <c r="Z54" s="1324"/>
      <c r="AA54" s="1324"/>
      <c r="AB54" s="1324"/>
      <c r="AC54" s="1324"/>
      <c r="AD54" s="1324"/>
      <c r="AE54" s="1324"/>
      <c r="AF54" s="1324"/>
      <c r="AG54" s="1324"/>
      <c r="AH54" s="1324"/>
      <c r="AI54" s="1324"/>
      <c r="AJ54" s="1324"/>
      <c r="AK54" s="1324"/>
      <c r="AL54" s="1324"/>
      <c r="AM54" s="1324"/>
      <c r="AO54" s="1251"/>
      <c r="AP54" s="1251" t="str">
        <f>IF(T54="","",T54)</f>
        <v>Добавить источник для дифференциации</v>
      </c>
      <c r="AQ54" s="1251"/>
      <c r="AR54" s="1251"/>
      <c r="AS54" s="1642">
        <v>1</v>
      </c>
    </row>
    <row s="1642" customFormat="1" customHeight="1" ht="1.05">
      <c r="A55" s="1267" t="s">
        <v>214</v>
      </c>
      <c r="B55" s="1267" t="s">
        <v>215</v>
      </c>
      <c r="C55" s="1974"/>
      <c r="D55" s="1974"/>
      <c r="E55" s="2290"/>
      <c r="F55" s="2289"/>
      <c r="G55" s="1974"/>
      <c r="H55" s="1974"/>
      <c r="I55" s="1974"/>
      <c r="J55" s="1974"/>
      <c r="K55" s="1974"/>
      <c r="L55" s="1380"/>
      <c r="M55" s="1975"/>
      <c r="N55" s="1975"/>
      <c r="O55" s="1635"/>
      <c r="P55" s="1316"/>
      <c r="Q55" s="1317"/>
      <c r="R55" s="1316"/>
      <c r="S55" s="1322"/>
      <c r="T55" s="1325" t="s">
        <v>417</v>
      </c>
      <c r="U55" s="1324"/>
      <c r="V55" s="1324"/>
      <c r="W55" s="1324"/>
      <c r="X55" s="1324"/>
      <c r="Y55" s="1324"/>
      <c r="Z55" s="1324"/>
      <c r="AA55" s="1324"/>
      <c r="AB55" s="1324"/>
      <c r="AC55" s="1324"/>
      <c r="AD55" s="1324"/>
      <c r="AE55" s="1324"/>
      <c r="AF55" s="1324"/>
      <c r="AG55" s="1324"/>
      <c r="AH55" s="1324"/>
      <c r="AI55" s="1324"/>
      <c r="AJ55" s="1324"/>
      <c r="AK55" s="1324"/>
      <c r="AL55" s="1324"/>
      <c r="AM55" s="1324"/>
      <c r="AO55" s="1251"/>
      <c r="AP55" s="1251" t="str">
        <f>IF(T55="","",T55)</f>
        <v>Добавить централизованную систему для дифференциации</v>
      </c>
      <c r="AQ55" s="1251"/>
      <c r="AR55" s="1251"/>
      <c r="AS55" s="1642">
        <v>1</v>
      </c>
    </row>
    <row s="1642" customFormat="1" customHeight="1" ht="1.05">
      <c r="A56" s="1267" t="s">
        <v>214</v>
      </c>
      <c r="B56" s="1267"/>
      <c r="C56" s="1267"/>
      <c r="D56" s="1267"/>
      <c r="E56" s="2289"/>
      <c r="F56" s="1267"/>
      <c r="G56" s="1267"/>
      <c r="H56" s="1267"/>
      <c r="I56" s="1267"/>
      <c r="J56" s="1267"/>
      <c r="K56" s="1267"/>
      <c r="L56" s="1310"/>
      <c r="M56" s="1975"/>
      <c r="N56" s="1975"/>
      <c r="O56" s="1635"/>
      <c r="P56" s="380"/>
      <c r="Q56" s="1344"/>
      <c r="R56" s="380"/>
      <c r="S56" s="1322"/>
      <c r="T56" s="1325" t="s">
        <v>418</v>
      </c>
      <c r="U56" s="1324"/>
      <c r="V56" s="1324"/>
      <c r="W56" s="1324"/>
      <c r="X56" s="1324"/>
      <c r="Y56" s="1324"/>
      <c r="Z56" s="1324"/>
      <c r="AA56" s="1324"/>
      <c r="AB56" s="1324"/>
      <c r="AC56" s="1324"/>
      <c r="AD56" s="1324"/>
      <c r="AE56" s="1324"/>
      <c r="AF56" s="1324"/>
      <c r="AG56" s="1324"/>
      <c r="AH56" s="1324"/>
      <c r="AI56" s="1324"/>
      <c r="AJ56" s="1324"/>
      <c r="AK56" s="1324"/>
      <c r="AL56" s="1324"/>
      <c r="AM56" s="1324"/>
      <c r="AO56" s="1624"/>
      <c r="AP56" s="1624" t="str">
        <f>IF(T56="","",T56)</f>
        <v>Добавить территорию для дифференциации</v>
      </c>
      <c r="AQ56" s="1624"/>
      <c r="AR56" s="1624"/>
      <c r="AS56" s="1636">
        <v>1</v>
      </c>
    </row>
    <row s="1642" customFormat="1" customHeight="1" ht="1.05">
      <c r="A57" s="1974"/>
      <c r="B57" s="1974"/>
      <c r="C57" s="1974"/>
      <c r="D57" s="1974"/>
      <c r="E57" s="1267"/>
      <c r="F57" s="1974"/>
      <c r="G57" s="1974"/>
      <c r="H57" s="1974"/>
      <c r="I57" s="1974"/>
      <c r="J57" s="1974"/>
      <c r="K57" s="1974"/>
      <c r="L57" s="1380"/>
      <c r="M57" s="1975"/>
      <c r="N57" s="1975"/>
      <c r="O57" s="1635"/>
      <c r="P57" s="1316"/>
      <c r="Q57" s="1317"/>
      <c r="R57" s="1316"/>
      <c r="S57" s="1322"/>
      <c r="T57" s="1325" t="s">
        <v>450</v>
      </c>
      <c r="U57" s="1324"/>
      <c r="V57" s="1324"/>
      <c r="W57" s="1324"/>
      <c r="X57" s="1324"/>
      <c r="Y57" s="1324"/>
      <c r="Z57" s="1324"/>
      <c r="AA57" s="1324"/>
      <c r="AB57" s="1324"/>
      <c r="AC57" s="1324"/>
      <c r="AD57" s="1324"/>
      <c r="AE57" s="1324"/>
      <c r="AF57" s="1324"/>
      <c r="AG57" s="1324"/>
      <c r="AH57" s="1324"/>
      <c r="AI57" s="1324"/>
      <c r="AJ57" s="1324"/>
      <c r="AK57" s="1324"/>
      <c r="AL57" s="1324"/>
      <c r="AM57" s="1324"/>
      <c r="AO57" s="1251"/>
      <c r="AP57" s="1251" t="str">
        <f>IF(T57="","",T57)</f>
        <v>Добавить наименование тарифа</v>
      </c>
      <c r="AQ57" s="1251"/>
      <c r="AR57" s="1251"/>
      <c r="AS57" s="1642">
        <v>1</v>
      </c>
    </row>
    <row customHeight="1" ht="11.549999999999999">
      <c r="M58" s="1631"/>
      <c r="N58" s="1631"/>
      <c r="O58" s="1635"/>
      <c r="P58" s="1631"/>
      <c r="Q58" s="1631"/>
      <c r="R58" s="1631"/>
      <c r="S58" s="1631"/>
      <c r="AN58" s="1631"/>
      <c r="AO58" s="1631"/>
      <c r="AP58" s="1631"/>
      <c r="AQ58" s="1631"/>
      <c r="AR58" s="1631"/>
      <c r="AS58" s="1631">
        <v>11</v>
      </c>
    </row>
    <row customHeight="1" ht="28.5">
      <c r="O59" s="1635"/>
      <c r="S59" s="1253"/>
      <c r="T59" s="2285"/>
      <c r="U59" s="2285"/>
      <c r="V59" s="2285"/>
      <c r="W59" s="2285"/>
      <c r="X59" s="2285"/>
      <c r="Y59" s="2285"/>
      <c r="Z59" s="2285"/>
      <c r="AA59" s="2285"/>
      <c r="AB59" s="2285"/>
      <c r="AC59" s="2285"/>
      <c r="AD59" s="2285"/>
      <c r="AE59" s="2285"/>
      <c r="AF59" s="2285"/>
      <c r="AG59" s="2285"/>
      <c r="AH59" s="2285"/>
      <c r="AI59" s="2285"/>
      <c r="AJ59" s="2285"/>
      <c r="AK59" s="2285"/>
      <c r="AL59" s="2285"/>
      <c r="AM59" s="2285"/>
      <c r="AS59" s="1631">
        <v>27</v>
      </c>
    </row>
    <row customHeight="1" ht="65.25">
      <c r="O60" s="1635"/>
      <c r="T60" s="2285"/>
      <c r="U60" s="2285"/>
      <c r="V60" s="2285"/>
      <c r="W60" s="2285"/>
      <c r="X60" s="2285"/>
      <c r="Y60" s="2285"/>
      <c r="Z60" s="2285"/>
      <c r="AA60" s="2285"/>
      <c r="AB60" s="2285"/>
      <c r="AC60" s="2285"/>
      <c r="AD60" s="2285"/>
      <c r="AE60" s="2285"/>
      <c r="AF60" s="2285"/>
      <c r="AG60" s="2285"/>
      <c r="AH60" s="2285"/>
      <c r="AI60" s="2285"/>
      <c r="AJ60" s="2285"/>
      <c r="AK60" s="2285"/>
      <c r="AL60" s="2285"/>
      <c r="AM60" s="2285"/>
      <c r="AS60" s="1631">
        <v>62</v>
      </c>
    </row>
    <row customHeight="1" ht="14.699999999999998">
      <c r="O61" s="1635"/>
      <c r="AS61" s="1631">
        <v>14</v>
      </c>
    </row>
    <row customHeight="1" ht="18.75">
      <c r="O62" s="1635"/>
      <c r="S62" s="1253"/>
      <c r="T62" s="2285"/>
      <c r="U62" s="2285"/>
      <c r="V62" s="2285"/>
      <c r="W62" s="2285"/>
      <c r="X62" s="2285"/>
      <c r="Y62" s="2285"/>
      <c r="Z62" s="2285"/>
      <c r="AA62" s="2285"/>
      <c r="AB62" s="2285"/>
      <c r="AC62" s="2285"/>
      <c r="AD62" s="2285"/>
      <c r="AE62" s="2285"/>
      <c r="AF62" s="2285"/>
      <c r="AG62" s="2285"/>
      <c r="AH62" s="2285"/>
      <c r="AI62" s="2285"/>
      <c r="AJ62" s="2285"/>
      <c r="AK62" s="2285"/>
      <c r="AL62" s="2285"/>
      <c r="AM62" s="2285"/>
      <c r="AS62" s="1631">
        <v>18</v>
      </c>
    </row>
    <row customHeight="1" ht="18.75">
      <c r="O63" s="1635"/>
      <c r="T63" s="2285"/>
      <c r="U63" s="2285"/>
      <c r="V63" s="2285"/>
      <c r="W63" s="2285"/>
      <c r="X63" s="2285"/>
      <c r="Y63" s="2285"/>
      <c r="Z63" s="2285"/>
      <c r="AA63" s="2285"/>
      <c r="AB63" s="2285"/>
      <c r="AC63" s="2285"/>
      <c r="AD63" s="2285"/>
      <c r="AE63" s="2285"/>
      <c r="AF63" s="2285"/>
      <c r="AG63" s="2285"/>
      <c r="AH63" s="2285"/>
      <c r="AI63" s="2285"/>
      <c r="AJ63" s="2285"/>
      <c r="AK63" s="2285"/>
      <c r="AL63" s="2285"/>
      <c r="AM63" s="2285"/>
      <c r="AS63" s="1631">
        <v>18</v>
      </c>
    </row>
    <row customHeight="1" ht="29.25">
      <c r="O64" s="1635"/>
      <c r="S64" s="1253"/>
      <c r="T64" s="2285"/>
      <c r="U64" s="2285"/>
      <c r="V64" s="2285"/>
      <c r="W64" s="2285"/>
      <c r="X64" s="2285"/>
      <c r="Y64" s="2285"/>
      <c r="Z64" s="2285"/>
      <c r="AA64" s="2285"/>
      <c r="AB64" s="2285"/>
      <c r="AC64" s="2285"/>
      <c r="AD64" s="2285"/>
      <c r="AE64" s="2285"/>
      <c r="AF64" s="2285"/>
      <c r="AG64" s="2285"/>
      <c r="AH64" s="2285"/>
      <c r="AI64" s="2285"/>
      <c r="AJ64" s="2285"/>
      <c r="AK64" s="2285"/>
      <c r="AL64" s="2285"/>
      <c r="AM64" s="2285"/>
      <c r="AS64" s="1631">
        <v>28</v>
      </c>
    </row>
    <row customHeight="1" ht="22.5" hidden="1">
      <c r="A65" s="1631" t="s">
        <v>82</v>
      </c>
      <c r="B65" s="1631">
        <v>0</v>
      </c>
      <c r="C65" s="1631">
        <v>0</v>
      </c>
      <c r="D65" s="1631">
        <v>0</v>
      </c>
      <c r="E65" s="1631">
        <v>0</v>
      </c>
      <c r="F65" s="1631">
        <v>0</v>
      </c>
      <c r="G65" s="1631">
        <v>0</v>
      </c>
      <c r="H65" s="1631">
        <v>0</v>
      </c>
      <c r="I65" s="1631">
        <v>0</v>
      </c>
      <c r="J65" s="1631">
        <v>0</v>
      </c>
      <c r="K65" s="1631">
        <v>0</v>
      </c>
      <c r="L65" s="1939">
        <v>0</v>
      </c>
      <c r="M65" s="1965">
        <v>0</v>
      </c>
      <c r="N65" s="1965">
        <v>0</v>
      </c>
      <c r="O65" s="1965">
        <v>0</v>
      </c>
      <c r="P65" s="1965">
        <v>3</v>
      </c>
      <c r="Q65" s="344">
        <v>3</v>
      </c>
      <c r="R65" s="344">
        <v>3</v>
      </c>
      <c r="S65" s="581">
        <v>12</v>
      </c>
      <c r="T65" s="1631">
        <v>31</v>
      </c>
      <c r="U65" s="1631">
        <v>0</v>
      </c>
      <c r="V65" s="1631">
        <v>0</v>
      </c>
      <c r="W65" s="1631">
        <v>0</v>
      </c>
      <c r="X65" s="1631">
        <v>0</v>
      </c>
      <c r="Y65" s="1631">
        <v>0</v>
      </c>
      <c r="Z65" s="1631">
        <v>0</v>
      </c>
      <c r="AA65" s="1631">
        <v>0</v>
      </c>
      <c r="AB65" s="1631">
        <v>0</v>
      </c>
      <c r="AC65" s="1631">
        <v>0</v>
      </c>
      <c r="AD65" s="1631">
        <v>24</v>
      </c>
      <c r="AE65" s="1631">
        <v>0</v>
      </c>
      <c r="AF65" s="1631">
        <v>24</v>
      </c>
      <c r="AG65" s="1631">
        <v>24</v>
      </c>
      <c r="AH65" s="1631">
        <v>11</v>
      </c>
      <c r="AI65" s="1631">
        <v>3</v>
      </c>
      <c r="AJ65" s="1631">
        <v>11</v>
      </c>
      <c r="AK65" s="1631">
        <v>0</v>
      </c>
      <c r="AL65" s="1631">
        <v>4</v>
      </c>
      <c r="AM65" s="1631">
        <v>115</v>
      </c>
      <c r="AN65" s="1636">
        <v>10</v>
      </c>
      <c r="AO65" s="1636">
        <v>10</v>
      </c>
      <c r="AP65" s="1636">
        <v>10</v>
      </c>
      <c r="AQ65" s="1636">
        <v>10</v>
      </c>
      <c r="AR65" s="1636">
        <v>10</v>
      </c>
      <c r="AS65" s="1631">
        <v>23</v>
      </c>
    </row>
  </sheetData>
  <sheetProtection sort="0" autoFilter="0" insertRows="0" insertColumns="1" deleteRows="0" deleteColumns="0"/>
  <mergeCells count="112">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 ref="J7:J10"/>
    <mergeCell ref="Q7:Q10"/>
    <mergeCell ref="V7:AC7"/>
    <mergeCell ref="AD7:AL7"/>
    <mergeCell ref="AK8:AK9"/>
    <mergeCell ref="AM8:AM10"/>
    <mergeCell ref="AH17:AH18"/>
    <mergeCell ref="AI17:AI18"/>
    <mergeCell ref="AJ17:AJ18"/>
    <mergeCell ref="AK17:AK18"/>
    <mergeCell ref="K8:K9"/>
    <mergeCell ref="Z8:Z9"/>
    <mergeCell ref="AA8:AA9"/>
    <mergeCell ref="AB8:AB9"/>
    <mergeCell ref="AC8:AC9"/>
    <mergeCell ref="AH8:AH9"/>
    <mergeCell ref="S26:AJ26"/>
    <mergeCell ref="S27:AJ27"/>
    <mergeCell ref="S29:T29"/>
    <mergeCell ref="V29:AB29"/>
    <mergeCell ref="AD29:AJ29"/>
    <mergeCell ref="S30:T30"/>
    <mergeCell ref="V30:AB30"/>
    <mergeCell ref="AD30:AJ30"/>
    <mergeCell ref="AI8:AI9"/>
    <mergeCell ref="AJ8:AJ9"/>
    <mergeCell ref="S34:T34"/>
    <mergeCell ref="V34:AB34"/>
    <mergeCell ref="AD34:AJ34"/>
    <mergeCell ref="S35:T35"/>
    <mergeCell ref="V35:AB35"/>
    <mergeCell ref="AD35:AJ35"/>
    <mergeCell ref="S31:T31"/>
    <mergeCell ref="V31:AB31"/>
    <mergeCell ref="AD31:AJ31"/>
    <mergeCell ref="S32:T32"/>
    <mergeCell ref="V32:AB32"/>
    <mergeCell ref="AD32:AJ32"/>
    <mergeCell ref="V37:AC37"/>
    <mergeCell ref="AD37:AK37"/>
    <mergeCell ref="S38:AL38"/>
    <mergeCell ref="AM38:AM41"/>
    <mergeCell ref="S39:S41"/>
    <mergeCell ref="T39:T41"/>
    <mergeCell ref="V39:AB39"/>
    <mergeCell ref="AC39:AC41"/>
    <mergeCell ref="AD39:AJ39"/>
    <mergeCell ref="AK39:AK41"/>
    <mergeCell ref="E43:E56"/>
    <mergeCell ref="V43:AC43"/>
    <mergeCell ref="AD43:AL43"/>
    <mergeCell ref="F44:F55"/>
    <mergeCell ref="V44:AC44"/>
    <mergeCell ref="AD44:AL44"/>
    <mergeCell ref="G45:G54"/>
    <mergeCell ref="AL39:AL41"/>
    <mergeCell ref="V40:V41"/>
    <mergeCell ref="W40:W41"/>
    <mergeCell ref="X40:Y40"/>
    <mergeCell ref="Z40:AB40"/>
    <mergeCell ref="AD40:AD41"/>
    <mergeCell ref="AE40:AE41"/>
    <mergeCell ref="AF40:AG40"/>
    <mergeCell ref="AH40:AJ40"/>
    <mergeCell ref="AA41:AB41"/>
    <mergeCell ref="H46:H53"/>
    <mergeCell ref="V46:AC46"/>
    <mergeCell ref="AD46:AL46"/>
    <mergeCell ref="I47:I52"/>
    <mergeCell ref="P47:P52"/>
    <mergeCell ref="V47:AC47"/>
    <mergeCell ref="AD47:AL47"/>
    <mergeCell ref="J48:J51"/>
    <mergeCell ref="AI41:AJ41"/>
    <mergeCell ref="AA42:AB42"/>
    <mergeCell ref="AI42:AJ42"/>
    <mergeCell ref="K49:K50"/>
    <mergeCell ref="Z49:Z50"/>
    <mergeCell ref="AA49:AA50"/>
    <mergeCell ref="AB49:AB50"/>
    <mergeCell ref="AC49:AC50"/>
    <mergeCell ref="AH49:AH50"/>
    <mergeCell ref="AI49:AI50"/>
    <mergeCell ref="V45:AC45"/>
    <mergeCell ref="AD45:AL45"/>
    <mergeCell ref="T63:AM63"/>
    <mergeCell ref="T64:AM64"/>
    <mergeCell ref="AJ49:AJ50"/>
    <mergeCell ref="AK49:AK50"/>
    <mergeCell ref="AM49:AM51"/>
    <mergeCell ref="T59:AM59"/>
    <mergeCell ref="T60:AM60"/>
    <mergeCell ref="T62:AM62"/>
    <mergeCell ref="Q48:Q51"/>
    <mergeCell ref="V48:AC48"/>
    <mergeCell ref="AD48:AL48"/>
  </mergeCells>
  <dataValidations count="8">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F607637-8F13-EE78-4A37-9D0F8999C673}" mc:Ignorable="x14ac xr xr2 xr3">
  <sheetPr>
    <tabColor theme="6" tint="0.4"/>
  </sheetPr>
  <dimension ref="A1:AS65"/>
  <sheetViews>
    <sheetView showGridLines="0" zoomScale="90" workbookViewId="0">
      <pane xSplit="29" ySplit="42" topLeftCell="AD43" activePane="bottomRight" state="frozen"/>
      <selection pane="bottomLeft" activeCell="A43" sqref="A43"/>
      <selection pane="topRight" activeCell="AD1" sqref="AD1"/>
      <selection pane="bottomRight" activeCell="A1" sqref="A1"/>
    </sheetView>
  </sheetViews>
  <sheetFormatPr defaultColWidth="10.57421875" customHeight="1" defaultRowHeight="14.25"/>
  <cols>
    <col min="1" max="1" style="1366" width="10.57421875" hidden="1"/>
    <col min="2" max="2" style="1366" width="11.00390625" hidden="1" customWidth="1"/>
    <col min="3" max="3" style="1366" width="10.57421875" hidden="1"/>
    <col min="4" max="4" style="1366" width="11.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2.00390625" hidden="1" customWidth="1"/>
    <col min="10" max="10" style="1366" width="9.8515625" hidden="1" customWidth="1"/>
    <col min="11" max="11" style="1366" width="11.421875" hidden="1" customWidth="1"/>
    <col min="12" max="12" style="2607" width="19.140625" hidden="1" customWidth="1"/>
    <col min="13" max="14" style="1776" width="12.28125" hidden="1" customWidth="1"/>
    <col min="15" max="15" style="1776" width="23.421875" hidden="1" customWidth="1"/>
    <col min="16" max="16" style="2397" width="3.00390625" customWidth="1"/>
    <col min="17" max="18" style="344" width="3.00390625" customWidth="1"/>
    <col min="19" max="19" style="2407" width="12.00390625" customWidth="1"/>
    <col min="20" max="20" style="1635" width="31.00390625" customWidth="1"/>
    <col min="21" max="21" style="1635" width="0.7109375" hidden="1" customWidth="1"/>
    <col min="22" max="22" style="1635" width="1.7109375" hidden="1" customWidth="1"/>
    <col min="23" max="23" style="1635" width="24.7109375" hidden="1" customWidth="1"/>
    <col min="24" max="25" style="1635" width="0.140625" hidden="1" customWidth="1"/>
    <col min="26" max="26" style="1635" width="11.7109375" hidden="1" customWidth="1"/>
    <col min="27" max="27" style="1635" width="3.7109375" hidden="1" customWidth="1"/>
    <col min="28" max="28" style="1635" width="11.7109375" hidden="1" customWidth="1"/>
    <col min="29" max="29" style="1635" width="8.57421875" hidden="1" customWidth="1"/>
    <col min="30" max="30" style="1635" width="0.140625" customWidth="1"/>
    <col min="31" max="31" style="1635" width="24.00390625" customWidth="1"/>
    <col min="32" max="33" style="1635" width="0.140625" customWidth="1"/>
    <col min="34" max="34" style="1635" width="11.00390625" customWidth="1"/>
    <col min="35" max="35" style="1635" width="3.7109375" customWidth="1"/>
    <col min="36" max="36" style="1635" width="11.00390625" customWidth="1"/>
    <col min="37" max="37" style="1635" width="8.57421875" hidden="1" customWidth="1"/>
    <col min="38" max="38" style="1635" width="4.00390625" customWidth="1"/>
    <col min="39" max="39" style="1635" width="115.00390625" customWidth="1"/>
    <col min="40" max="44" style="1642" width="10.00390625" customWidth="1"/>
    <col min="45" max="45" style="1635" width="10.57421875" hidden="1"/>
  </cols>
  <sheetData>
    <row customHeight="1" ht="22.5" hidden="1">
      <c r="Y1" s="327"/>
      <c r="Z1" s="327"/>
      <c r="AG1" s="327"/>
      <c r="AH1" s="327"/>
      <c r="AS1" s="1155" t="s">
        <v>14</v>
      </c>
    </row>
    <row customHeight="1" ht="21" hidden="1">
      <c r="A2" s="1363"/>
      <c r="B2" s="1363"/>
      <c r="C2" s="1363"/>
      <c r="D2" s="1363"/>
      <c r="E2" s="2258">
        <v>1</v>
      </c>
      <c r="F2" s="1363"/>
      <c r="G2" s="1363"/>
      <c r="H2" s="1363"/>
      <c r="I2" s="1363"/>
      <c r="J2" s="1363"/>
      <c r="K2" s="1363"/>
      <c r="L2" s="1364"/>
      <c r="M2" s="1365"/>
      <c r="N2" s="1365"/>
      <c r="O2" s="1365"/>
      <c r="P2" s="361"/>
      <c r="Q2" s="360"/>
      <c r="R2" s="355"/>
      <c r="S2" s="1336">
        <f>INDEX(PT_DIFFERENTIATION_NUM_NTAR,MATCH(A2,PT_DIFFERENTIATION_NTAR_ID,0))</f>
      </c>
      <c r="T2" s="298" t="s">
        <v>127</v>
      </c>
      <c r="U2" s="300"/>
      <c r="V2" s="2242"/>
      <c r="W2" s="2243"/>
      <c r="X2" s="2243"/>
      <c r="Y2" s="2243"/>
      <c r="Z2" s="2243"/>
      <c r="AA2" s="2243"/>
      <c r="AB2" s="2243"/>
      <c r="AC2" s="2244"/>
      <c r="AD2" s="2242">
        <f>INDEX(PT_DIFFERENTIATION_NTAR,MATCH(A2,PT_DIFFERENTIATION_NTAR_ID,0))</f>
      </c>
      <c r="AE2" s="2243"/>
      <c r="AF2" s="2243"/>
      <c r="AG2" s="2243"/>
      <c r="AH2" s="2243"/>
      <c r="AI2" s="2243"/>
      <c r="AJ2" s="2243"/>
      <c r="AK2" s="2243"/>
      <c r="AL2" s="2244"/>
      <c r="AM2" s="1258" t="s">
        <v>398</v>
      </c>
      <c r="AO2" s="500"/>
      <c r="AP2" s="500" t="str">
        <f>IF(T2="","",T2)</f>
        <v>Наименование тарифа</v>
      </c>
      <c r="AQ2" s="500"/>
      <c r="AR2" s="500"/>
      <c r="AS2" s="1155">
        <v>0</v>
      </c>
    </row>
    <row customHeight="1" ht="21" hidden="1">
      <c r="A3" s="1363"/>
      <c r="B3" s="1363"/>
      <c r="C3" s="1363"/>
      <c r="D3" s="1363"/>
      <c r="E3" s="2259"/>
      <c r="F3" s="2258">
        <v>1</v>
      </c>
      <c r="G3" s="1363"/>
      <c r="H3" s="1363"/>
      <c r="I3" s="1363"/>
      <c r="J3" s="1363"/>
      <c r="K3" s="1363"/>
      <c r="L3" s="1364"/>
      <c r="M3" s="1365"/>
      <c r="N3" s="1365"/>
      <c r="O3" s="1365"/>
      <c r="P3" s="1332"/>
      <c r="Q3" s="352"/>
      <c r="R3" s="353"/>
      <c r="S3" s="1336">
        <f>INDEX(PT_DIFFERENTIATION_NUM_TER,MATCH(B3,PT_DIFFERENTIATION_TER_ID,0))</f>
      </c>
      <c r="T3" s="308" t="s">
        <v>399</v>
      </c>
      <c r="U3" s="300"/>
      <c r="V3" s="2242"/>
      <c r="W3" s="2243"/>
      <c r="X3" s="2243"/>
      <c r="Y3" s="2243"/>
      <c r="Z3" s="2243"/>
      <c r="AA3" s="2243"/>
      <c r="AB3" s="2243"/>
      <c r="AC3" s="2244"/>
      <c r="AD3" s="2242">
        <f>INDEX(PT_DIFFERENTIATION_TER,MATCH(B3,PT_DIFFERENTIATION_TER_ID,0))</f>
      </c>
      <c r="AE3" s="2243"/>
      <c r="AF3" s="2243"/>
      <c r="AG3" s="2243"/>
      <c r="AH3" s="2243"/>
      <c r="AI3" s="2243"/>
      <c r="AJ3" s="2243"/>
      <c r="AK3" s="2243"/>
      <c r="AL3" s="2244"/>
      <c r="AM3" s="1258" t="s">
        <v>400</v>
      </c>
      <c r="AO3" s="500"/>
      <c r="AP3" s="500" t="str">
        <f>IF(T3="","",T3)</f>
        <v>Территория действия тарифа</v>
      </c>
      <c r="AQ3" s="500"/>
      <c r="AR3" s="500"/>
      <c r="AS3" s="1155">
        <v>0</v>
      </c>
    </row>
    <row customHeight="1" ht="23.25" hidden="1">
      <c r="A4" s="1363"/>
      <c r="B4" s="1363"/>
      <c r="C4" s="1363"/>
      <c r="D4" s="1363"/>
      <c r="E4" s="2259"/>
      <c r="F4" s="2259"/>
      <c r="G4" s="2258">
        <v>1</v>
      </c>
      <c r="H4" s="1363"/>
      <c r="I4" s="1363"/>
      <c r="J4" s="1363"/>
      <c r="K4" s="1363"/>
      <c r="L4" s="1364"/>
      <c r="M4" s="1365"/>
      <c r="N4" s="1365"/>
      <c r="O4" s="1365"/>
      <c r="P4" s="354"/>
      <c r="Q4" s="352"/>
      <c r="R4" s="353"/>
      <c r="S4" s="1336">
        <f>INDEX(PT_DIFFERENTIATION_NUM_CS,MATCH(C4,PT_DIFFERENTIATION_CS_ID,0))</f>
      </c>
      <c r="T4" s="309" t="s">
        <v>401</v>
      </c>
      <c r="U4" s="300"/>
      <c r="V4" s="2242"/>
      <c r="W4" s="2243"/>
      <c r="X4" s="2243"/>
      <c r="Y4" s="2243"/>
      <c r="Z4" s="2243"/>
      <c r="AA4" s="2243"/>
      <c r="AB4" s="2243"/>
      <c r="AC4" s="2244"/>
      <c r="AD4" s="2242">
        <f>INDEX(PT_DIFFERENTIATION_CS,MATCH(C4,PT_DIFFERENTIATION_CS_ID,0))</f>
      </c>
      <c r="AE4" s="2243"/>
      <c r="AF4" s="2243"/>
      <c r="AG4" s="2243"/>
      <c r="AH4" s="2243"/>
      <c r="AI4" s="2243"/>
      <c r="AJ4" s="2243"/>
      <c r="AK4" s="2243"/>
      <c r="AL4" s="2244"/>
      <c r="AM4" s="1258" t="s">
        <v>402</v>
      </c>
      <c r="AO4" s="500"/>
      <c r="AP4" s="500" t="str">
        <f>IF(T4="","",T4)</f>
        <v>Наименование системы теплоснабжения </v>
      </c>
      <c r="AQ4" s="500"/>
      <c r="AR4" s="500"/>
      <c r="AS4" s="1155">
        <v>0</v>
      </c>
    </row>
    <row customHeight="1" ht="21" hidden="1">
      <c r="A5" s="1363"/>
      <c r="B5" s="1363"/>
      <c r="C5" s="1363"/>
      <c r="D5" s="1363"/>
      <c r="E5" s="2259"/>
      <c r="F5" s="2259"/>
      <c r="G5" s="2259"/>
      <c r="H5" s="2258">
        <v>1</v>
      </c>
      <c r="I5" s="1363"/>
      <c r="J5" s="1363"/>
      <c r="K5" s="1363"/>
      <c r="L5" s="1364"/>
      <c r="M5" s="1365"/>
      <c r="N5" s="1365"/>
      <c r="O5" s="1365"/>
      <c r="P5" s="354"/>
      <c r="Q5" s="352"/>
      <c r="R5" s="353"/>
      <c r="S5" s="1336">
        <f>INDEX(PT_DIFFERENTIATION_NUM_IST_TE,MATCH(D5,PT_DIFFERENTIATION_IST_TE_ID,0))</f>
      </c>
      <c r="T5" s="310" t="s">
        <v>403</v>
      </c>
      <c r="U5" s="300"/>
      <c r="V5" s="2242"/>
      <c r="W5" s="2243"/>
      <c r="X5" s="2243"/>
      <c r="Y5" s="2243"/>
      <c r="Z5" s="2243"/>
      <c r="AA5" s="2243"/>
      <c r="AB5" s="2243"/>
      <c r="AC5" s="2244"/>
      <c r="AD5" s="2242">
        <f>INDEX(PT_DIFFERENTIATION_IST_TE,MATCH(D5,PT_DIFFERENTIATION_IST_TE_ID,0))</f>
      </c>
      <c r="AE5" s="2243"/>
      <c r="AF5" s="2243"/>
      <c r="AG5" s="2243"/>
      <c r="AH5" s="2243"/>
      <c r="AI5" s="2243"/>
      <c r="AJ5" s="2243"/>
      <c r="AK5" s="2243"/>
      <c r="AL5" s="2244"/>
      <c r="AM5" s="1258" t="s">
        <v>404</v>
      </c>
      <c r="AO5" s="500"/>
      <c r="AP5" s="500" t="str">
        <f>IF(T5="","",T5)</f>
        <v>Источник тепловой энергии  </v>
      </c>
      <c r="AQ5" s="500"/>
      <c r="AR5" s="500"/>
      <c r="AS5" s="1155">
        <v>0</v>
      </c>
    </row>
    <row customHeight="1" ht="47.25" hidden="1">
      <c r="A6" s="1363"/>
      <c r="B6" s="1363"/>
      <c r="C6" s="1363"/>
      <c r="D6" s="1363"/>
      <c r="E6" s="2259"/>
      <c r="F6" s="2259"/>
      <c r="G6" s="2259"/>
      <c r="H6" s="2259"/>
      <c r="I6" s="2256">
        <f>S5&amp;".1"</f>
      </c>
      <c r="J6" s="1363"/>
      <c r="K6" s="1363"/>
      <c r="L6" s="1364" t="s">
        <v>405</v>
      </c>
      <c r="M6" s="537"/>
      <c r="P6" s="2257">
        <v>1</v>
      </c>
      <c r="Q6" s="1331"/>
      <c r="R6" s="356"/>
      <c r="S6" s="1336">
        <f>$I6</f>
      </c>
      <c r="T6" s="285" t="s">
        <v>406</v>
      </c>
      <c r="U6" s="300"/>
      <c r="V6" s="2245"/>
      <c r="W6" s="2246"/>
      <c r="X6" s="2246"/>
      <c r="Y6" s="2246"/>
      <c r="Z6" s="2246"/>
      <c r="AA6" s="2246"/>
      <c r="AB6" s="2246"/>
      <c r="AC6" s="2247"/>
      <c r="AD6" s="2245"/>
      <c r="AE6" s="2246"/>
      <c r="AF6" s="2246"/>
      <c r="AG6" s="2246"/>
      <c r="AH6" s="2246"/>
      <c r="AI6" s="2246"/>
      <c r="AJ6" s="2246"/>
      <c r="AK6" s="2246"/>
      <c r="AL6" s="2247"/>
      <c r="AM6" s="1258" t="s">
        <v>407</v>
      </c>
      <c r="AO6" s="500"/>
      <c r="AP6" s="500" t="str">
        <f>IF(T6="","",T6)</f>
        <v>Схема подключения теплопотребляющей установки к коллектору источника тепловой энергии</v>
      </c>
      <c r="AQ6" s="500"/>
      <c r="AR6" s="500"/>
      <c r="AS6" s="1155">
        <v>0</v>
      </c>
    </row>
    <row customHeight="1" ht="21" hidden="1">
      <c r="A7" s="1363"/>
      <c r="B7" s="1363"/>
      <c r="C7" s="1363"/>
      <c r="D7" s="1363"/>
      <c r="E7" s="2259"/>
      <c r="F7" s="2259"/>
      <c r="G7" s="2259"/>
      <c r="H7" s="2259"/>
      <c r="I7" s="2286"/>
      <c r="J7" s="2256">
        <f>I6&amp;".1"</f>
      </c>
      <c r="K7" s="1363"/>
      <c r="L7" s="1364" t="s">
        <v>408</v>
      </c>
      <c r="M7" s="537"/>
      <c r="N7" s="1366"/>
      <c r="P7" s="2257"/>
      <c r="Q7" s="2257">
        <v>1</v>
      </c>
      <c r="R7" s="357"/>
      <c r="S7" s="1336">
        <f>$J7</f>
      </c>
      <c r="T7" s="286" t="s">
        <v>409</v>
      </c>
      <c r="U7" s="300"/>
      <c r="V7" s="2245"/>
      <c r="W7" s="2246"/>
      <c r="X7" s="2246"/>
      <c r="Y7" s="2246"/>
      <c r="Z7" s="2246"/>
      <c r="AA7" s="2246"/>
      <c r="AB7" s="2246"/>
      <c r="AC7" s="2247"/>
      <c r="AD7" s="2245"/>
      <c r="AE7" s="2246"/>
      <c r="AF7" s="2246"/>
      <c r="AG7" s="2246"/>
      <c r="AH7" s="2246"/>
      <c r="AI7" s="2246"/>
      <c r="AJ7" s="2246"/>
      <c r="AK7" s="2246"/>
      <c r="AL7" s="2247"/>
      <c r="AM7" s="1258" t="s">
        <v>410</v>
      </c>
      <c r="AO7" s="500"/>
      <c r="AP7" s="500" t="str">
        <f>IF(T7="","",T7)</f>
        <v>Группа потребителей</v>
      </c>
      <c r="AQ7" s="500"/>
      <c r="AR7" s="500"/>
      <c r="AS7" s="1155">
        <v>0</v>
      </c>
    </row>
    <row customHeight="1" ht="21" hidden="1">
      <c r="A8" s="1363"/>
      <c r="B8" s="1363"/>
      <c r="C8" s="1363"/>
      <c r="D8" s="1363"/>
      <c r="E8" s="2259"/>
      <c r="F8" s="2259"/>
      <c r="G8" s="2259"/>
      <c r="H8" s="2259"/>
      <c r="I8" s="2286"/>
      <c r="J8" s="2286"/>
      <c r="K8" s="2256">
        <f>J7&amp;".1"</f>
      </c>
      <c r="L8" s="1364" t="s">
        <v>411</v>
      </c>
      <c r="M8" s="537"/>
      <c r="N8" s="1366"/>
      <c r="O8" s="1366"/>
      <c r="P8" s="2257"/>
      <c r="Q8" s="2257"/>
      <c r="R8" s="357">
        <v>1</v>
      </c>
      <c r="S8" s="1336">
        <f>$K8</f>
      </c>
      <c r="T8" s="1347"/>
      <c r="U8" s="300"/>
      <c r="V8" s="325"/>
      <c r="W8" s="751"/>
      <c r="X8" s="325"/>
      <c r="Y8" s="384"/>
      <c r="Z8" s="2265"/>
      <c r="AA8" s="2107" t="s">
        <v>66</v>
      </c>
      <c r="AB8" s="2265"/>
      <c r="AC8" s="2107" t="s">
        <v>66</v>
      </c>
      <c r="AD8" s="325"/>
      <c r="AE8" s="751"/>
      <c r="AF8" s="325"/>
      <c r="AG8" s="384"/>
      <c r="AH8" s="2265"/>
      <c r="AI8" s="2107" t="s">
        <v>66</v>
      </c>
      <c r="AJ8" s="2265"/>
      <c r="AK8" s="2107" t="s">
        <v>66</v>
      </c>
      <c r="AL8" s="325"/>
      <c r="AM8" s="2253" t="s">
        <v>412</v>
      </c>
      <c r="AN8" s="511">
        <f>STRCHECKDATE(V9:AL9)</f>
      </c>
      <c r="AO8" s="500"/>
      <c r="AP8" s="500" t="str">
        <f>IF(T8="","",T8)</f>
        <v/>
      </c>
      <c r="AQ8" s="500"/>
      <c r="AR8" s="500"/>
      <c r="AS8" s="1155">
        <v>0</v>
      </c>
    </row>
    <row customHeight="1" ht="0.75" hidden="1">
      <c r="A9" s="1363"/>
      <c r="B9" s="1363"/>
      <c r="C9" s="1363"/>
      <c r="D9" s="1363"/>
      <c r="E9" s="2259"/>
      <c r="F9" s="2259"/>
      <c r="G9" s="2259"/>
      <c r="H9" s="2259"/>
      <c r="I9" s="2286"/>
      <c r="J9" s="2286"/>
      <c r="K9" s="2256"/>
      <c r="L9" s="1364"/>
      <c r="M9" s="537"/>
      <c r="N9" s="1366"/>
      <c r="O9" s="1366"/>
      <c r="P9" s="2257"/>
      <c r="Q9" s="2257"/>
      <c r="R9" s="357"/>
      <c r="S9" s="1342"/>
      <c r="T9" s="300"/>
      <c r="U9" s="300"/>
      <c r="V9" s="325"/>
      <c r="W9" s="325"/>
      <c r="X9" s="325"/>
      <c r="Y9" s="328" t="str">
        <f>Z8&amp;"-"&amp;AB8</f>
        <v>-</v>
      </c>
      <c r="Z9" s="2266"/>
      <c r="AA9" s="2107"/>
      <c r="AB9" s="2266"/>
      <c r="AC9" s="2107"/>
      <c r="AD9" s="325"/>
      <c r="AE9" s="325"/>
      <c r="AF9" s="325"/>
      <c r="AG9" s="328" t="str">
        <f>AH8&amp;"-"&amp;AJ8</f>
        <v>-</v>
      </c>
      <c r="AH9" s="2266"/>
      <c r="AI9" s="2107"/>
      <c r="AJ9" s="2266"/>
      <c r="AK9" s="2107"/>
      <c r="AL9" s="325"/>
      <c r="AM9" s="2254"/>
      <c r="AO9" s="500"/>
      <c r="AP9" s="500" t="str">
        <f>IF(T9="","",T9)</f>
        <v/>
      </c>
      <c r="AQ9" s="500"/>
      <c r="AR9" s="500"/>
      <c r="AS9" s="1155">
        <v>0</v>
      </c>
    </row>
    <row customHeight="1" ht="15" hidden="1">
      <c r="A10" s="1363"/>
      <c r="B10" s="1363"/>
      <c r="C10" s="1363"/>
      <c r="D10" s="1363"/>
      <c r="E10" s="2259"/>
      <c r="F10" s="2259"/>
      <c r="G10" s="2259"/>
      <c r="H10" s="2259"/>
      <c r="I10" s="2286"/>
      <c r="J10" s="2256"/>
      <c r="K10" s="1363"/>
      <c r="L10" s="1364"/>
      <c r="M10" s="537"/>
      <c r="N10" s="1366"/>
      <c r="P10" s="2257"/>
      <c r="Q10" s="2257"/>
      <c r="R10" s="356"/>
      <c r="S10" s="1278"/>
      <c r="T10" s="288" t="s">
        <v>413</v>
      </c>
      <c r="U10" s="367"/>
      <c r="V10" s="367"/>
      <c r="W10" s="367"/>
      <c r="X10" s="367"/>
      <c r="Y10" s="367"/>
      <c r="Z10" s="367"/>
      <c r="AA10" s="367"/>
      <c r="AB10" s="367"/>
      <c r="AC10" s="367"/>
      <c r="AD10" s="367"/>
      <c r="AE10" s="367"/>
      <c r="AF10" s="367"/>
      <c r="AG10" s="367"/>
      <c r="AH10" s="367"/>
      <c r="AI10" s="367"/>
      <c r="AJ10" s="367"/>
      <c r="AK10" s="367"/>
      <c r="AL10" s="324"/>
      <c r="AM10" s="2255"/>
      <c r="AO10" s="500"/>
      <c r="AP10" s="500" t="str">
        <f>IF(T10="","",T10)</f>
        <v>Добавить вид теплоносителя (параметры теплоносителя)</v>
      </c>
      <c r="AQ10" s="500"/>
      <c r="AR10" s="500"/>
      <c r="AS10" s="1155">
        <v>0</v>
      </c>
    </row>
    <row customHeight="1" ht="15" hidden="1">
      <c r="A11" s="1363"/>
      <c r="B11" s="1363"/>
      <c r="C11" s="1363"/>
      <c r="D11" s="1363"/>
      <c r="E11" s="2259"/>
      <c r="F11" s="2259"/>
      <c r="G11" s="2259"/>
      <c r="H11" s="2259"/>
      <c r="I11" s="2256"/>
      <c r="J11" s="1363"/>
      <c r="K11" s="1363"/>
      <c r="L11" s="1364"/>
      <c r="M11" s="537"/>
      <c r="P11" s="2257"/>
      <c r="Q11" s="1331"/>
      <c r="R11" s="356"/>
      <c r="S11" s="1278"/>
      <c r="T11" s="287" t="s">
        <v>414</v>
      </c>
      <c r="U11" s="367"/>
      <c r="V11" s="367"/>
      <c r="W11" s="367"/>
      <c r="X11" s="367"/>
      <c r="Y11" s="367"/>
      <c r="Z11" s="367"/>
      <c r="AA11" s="367"/>
      <c r="AB11" s="367"/>
      <c r="AC11" s="366"/>
      <c r="AD11" s="367"/>
      <c r="AE11" s="367"/>
      <c r="AF11" s="367"/>
      <c r="AG11" s="367"/>
      <c r="AH11" s="367"/>
      <c r="AI11" s="367"/>
      <c r="AJ11" s="367"/>
      <c r="AK11" s="366"/>
      <c r="AL11" s="367"/>
      <c r="AM11" s="303"/>
      <c r="AO11" s="500"/>
      <c r="AP11" s="500" t="str">
        <f>IF(T11="","",T11)</f>
        <v>Добавить группу потребителей</v>
      </c>
      <c r="AQ11" s="500"/>
      <c r="AR11" s="500"/>
      <c r="AS11" s="1155">
        <v>0</v>
      </c>
    </row>
    <row customHeight="1" ht="14.25" hidden="1">
      <c r="A12" s="1363"/>
      <c r="B12" s="1363"/>
      <c r="C12" s="1363"/>
      <c r="D12" s="1363"/>
      <c r="E12" s="2259"/>
      <c r="F12" s="2259"/>
      <c r="G12" s="2259"/>
      <c r="H12" s="2258"/>
      <c r="I12" s="1363"/>
      <c r="J12" s="1363"/>
      <c r="K12" s="1363"/>
      <c r="L12" s="1364"/>
      <c r="M12" s="1365"/>
      <c r="N12" s="1365"/>
      <c r="O12" s="537"/>
      <c r="P12" s="360"/>
      <c r="Q12" s="375"/>
      <c r="R12" s="355"/>
      <c r="S12" s="1278"/>
      <c r="T12" s="365" t="s">
        <v>415</v>
      </c>
      <c r="U12" s="367"/>
      <c r="V12" s="367"/>
      <c r="W12" s="367"/>
      <c r="X12" s="367"/>
      <c r="Y12" s="367"/>
      <c r="Z12" s="367"/>
      <c r="AA12" s="367"/>
      <c r="AB12" s="367"/>
      <c r="AC12" s="366"/>
      <c r="AD12" s="367"/>
      <c r="AE12" s="367"/>
      <c r="AF12" s="367"/>
      <c r="AG12" s="367"/>
      <c r="AH12" s="367"/>
      <c r="AI12" s="367"/>
      <c r="AJ12" s="367"/>
      <c r="AK12" s="366"/>
      <c r="AL12" s="367"/>
      <c r="AM12" s="303"/>
      <c r="AO12" s="500"/>
      <c r="AP12" s="500" t="str">
        <f>IF(T12="","",T12)</f>
        <v>Добавить схему подключения</v>
      </c>
      <c r="AQ12" s="500"/>
      <c r="AR12" s="500"/>
      <c r="AS12" s="1155">
        <v>0</v>
      </c>
    </row>
    <row s="1642" customFormat="1" customHeight="1" ht="0.75" hidden="1">
      <c r="A13" s="1314"/>
      <c r="B13" s="1314"/>
      <c r="C13" s="1314"/>
      <c r="D13" s="1314"/>
      <c r="E13" s="2259"/>
      <c r="F13" s="2259"/>
      <c r="G13" s="2258"/>
      <c r="H13" s="1314"/>
      <c r="I13" s="1314"/>
      <c r="J13" s="1314"/>
      <c r="K13" s="1314"/>
      <c r="L13" s="1339"/>
      <c r="M13" s="1315"/>
      <c r="N13" s="1315"/>
      <c r="P13" s="1316"/>
      <c r="Q13" s="1317"/>
      <c r="R13" s="1316"/>
      <c r="S13" s="1318"/>
      <c r="T13" s="1319" t="s">
        <v>416</v>
      </c>
      <c r="U13" s="1320"/>
      <c r="V13" s="1320"/>
      <c r="W13" s="1320"/>
      <c r="X13" s="1320"/>
      <c r="Y13" s="1320"/>
      <c r="Z13" s="1320"/>
      <c r="AA13" s="1320"/>
      <c r="AB13" s="1320"/>
      <c r="AC13" s="1320"/>
      <c r="AD13" s="1320"/>
      <c r="AE13" s="1320"/>
      <c r="AF13" s="1320"/>
      <c r="AG13" s="1320"/>
      <c r="AH13" s="1320"/>
      <c r="AI13" s="1320"/>
      <c r="AJ13" s="1320"/>
      <c r="AK13" s="1320"/>
      <c r="AL13" s="1320"/>
      <c r="AM13" s="1320"/>
      <c r="AO13" s="789"/>
      <c r="AP13" s="789" t="str">
        <f>IF(T13="","",T13)</f>
        <v>Добавить источник для дифференциации</v>
      </c>
      <c r="AQ13" s="789"/>
      <c r="AR13" s="789"/>
      <c r="AS13" s="518">
        <v>0</v>
      </c>
    </row>
    <row s="1642" customFormat="1" customHeight="1" ht="0.75" hidden="1">
      <c r="A14" s="1314"/>
      <c r="B14" s="1314"/>
      <c r="C14" s="1314"/>
      <c r="D14" s="1314"/>
      <c r="E14" s="2259"/>
      <c r="F14" s="2258"/>
      <c r="G14" s="1314"/>
      <c r="H14" s="1314"/>
      <c r="I14" s="1314"/>
      <c r="J14" s="1314"/>
      <c r="K14" s="1314"/>
      <c r="L14" s="1339"/>
      <c r="M14" s="1321"/>
      <c r="N14" s="1321"/>
      <c r="P14" s="1316"/>
      <c r="Q14" s="1317"/>
      <c r="R14" s="1316"/>
      <c r="S14" s="1322"/>
      <c r="T14" s="1323" t="s">
        <v>417</v>
      </c>
      <c r="U14" s="1324"/>
      <c r="V14" s="1324"/>
      <c r="W14" s="1324"/>
      <c r="X14" s="1324"/>
      <c r="Y14" s="1324"/>
      <c r="Z14" s="1324"/>
      <c r="AA14" s="1324"/>
      <c r="AB14" s="1324"/>
      <c r="AC14" s="1324"/>
      <c r="AD14" s="1324"/>
      <c r="AE14" s="1324"/>
      <c r="AF14" s="1324"/>
      <c r="AG14" s="1324"/>
      <c r="AH14" s="1324"/>
      <c r="AI14" s="1324"/>
      <c r="AJ14" s="1324"/>
      <c r="AK14" s="1324"/>
      <c r="AL14" s="1324"/>
      <c r="AM14" s="1324"/>
      <c r="AO14" s="789"/>
      <c r="AP14" s="789" t="str">
        <f>IF(T14="","",T14)</f>
        <v>Добавить централизованную систему для дифференциации</v>
      </c>
      <c r="AQ14" s="789"/>
      <c r="AR14" s="789"/>
      <c r="AS14" s="518">
        <v>0</v>
      </c>
    </row>
    <row s="1642" customFormat="1" customHeight="1" ht="0.75" hidden="1">
      <c r="A15" s="1314"/>
      <c r="B15" s="1314"/>
      <c r="C15" s="1314"/>
      <c r="D15" s="1314"/>
      <c r="E15" s="2258"/>
      <c r="F15" s="1314"/>
      <c r="G15" s="1314"/>
      <c r="H15" s="1314"/>
      <c r="I15" s="1314"/>
      <c r="J15" s="1314"/>
      <c r="K15" s="1314"/>
      <c r="L15" s="1339"/>
      <c r="M15" s="1321"/>
      <c r="N15" s="1321"/>
      <c r="P15" s="1316"/>
      <c r="Q15" s="1317"/>
      <c r="R15" s="1316"/>
      <c r="S15" s="1322"/>
      <c r="T15" s="1325" t="s">
        <v>418</v>
      </c>
      <c r="U15" s="1324"/>
      <c r="V15" s="1324"/>
      <c r="W15" s="1324"/>
      <c r="X15" s="1324"/>
      <c r="Y15" s="1324"/>
      <c r="Z15" s="1324"/>
      <c r="AA15" s="1324"/>
      <c r="AB15" s="1324"/>
      <c r="AC15" s="1324"/>
      <c r="AD15" s="1324"/>
      <c r="AE15" s="1324"/>
      <c r="AF15" s="1324"/>
      <c r="AG15" s="1324"/>
      <c r="AH15" s="1324"/>
      <c r="AI15" s="1324"/>
      <c r="AJ15" s="1324"/>
      <c r="AK15" s="1324"/>
      <c r="AL15" s="1324"/>
      <c r="AM15" s="1324"/>
      <c r="AO15" s="789"/>
      <c r="AP15" s="789" t="str">
        <f>IF(T15="","",T15)</f>
        <v>Добавить территорию для дифференциации</v>
      </c>
      <c r="AQ15" s="789"/>
      <c r="AR15" s="789"/>
      <c r="AS15" s="518">
        <v>0</v>
      </c>
    </row>
    <row customHeight="1" ht="14.25" hidden="1">
      <c r="AC16" s="327"/>
      <c r="AK16" s="327"/>
      <c r="AS16" s="1155">
        <v>0</v>
      </c>
    </row>
    <row customHeight="1" ht="14.25" hidden="1">
      <c r="AD17" s="1360"/>
      <c r="AE17" s="1360"/>
      <c r="AF17" s="1360"/>
      <c r="AG17" s="1361"/>
      <c r="AH17" s="2267"/>
      <c r="AI17" s="2268" t="s">
        <v>66</v>
      </c>
      <c r="AJ17" s="2267"/>
      <c r="AK17" s="2268" t="s">
        <v>66</v>
      </c>
      <c r="AS17" s="1155">
        <v>0</v>
      </c>
    </row>
    <row customHeight="1" ht="14.25" hidden="1">
      <c r="AD18" s="1360"/>
      <c r="AE18" s="1360"/>
      <c r="AF18" s="1360"/>
      <c r="AG18" s="328" t="str">
        <f>AH17&amp;"-"&amp;AJ17</f>
        <v>-</v>
      </c>
      <c r="AH18" s="2268"/>
      <c r="AI18" s="2268"/>
      <c r="AJ18" s="2268"/>
      <c r="AK18" s="2268"/>
      <c r="AS18" s="1155">
        <v>0</v>
      </c>
    </row>
    <row customHeight="1" ht="14.25" hidden="1">
      <c r="AK19" s="327"/>
      <c r="AS19" s="1155">
        <v>0</v>
      </c>
    </row>
    <row s="1366" customFormat="1" customHeight="1" ht="22.5" hidden="1">
      <c r="L20" s="1329"/>
      <c r="M20" s="1362"/>
      <c r="N20" s="1362"/>
      <c r="O20" s="1367" t="s">
        <v>419</v>
      </c>
      <c r="P20" s="1362"/>
      <c r="Q20" s="1371"/>
      <c r="R20" s="1371"/>
      <c r="S20" s="729"/>
      <c r="Z20" s="1367"/>
      <c r="AB20" s="1367"/>
      <c r="AC20" s="1366"/>
      <c r="AH20" s="1367"/>
      <c r="AJ20" s="1367"/>
      <c r="AK20" s="1366"/>
      <c r="AN20" s="511"/>
      <c r="AO20" s="511"/>
      <c r="AP20" s="511"/>
      <c r="AQ20" s="511"/>
      <c r="AR20" s="511"/>
      <c r="AS20" s="1160">
        <v>0</v>
      </c>
    </row>
    <row s="1366" customFormat="1" customHeight="1" ht="14.25" hidden="1">
      <c r="L21" s="1329"/>
      <c r="M21" s="1362"/>
      <c r="N21" s="1362"/>
      <c r="O21" s="1362"/>
      <c r="P21" s="1362"/>
      <c r="Q21" s="1371"/>
      <c r="R21" s="1371"/>
      <c r="S21" s="729"/>
      <c r="AC21" s="1366"/>
      <c r="AK21" s="1366"/>
      <c r="AN21" s="511"/>
      <c r="AO21" s="511"/>
      <c r="AP21" s="511"/>
      <c r="AQ21" s="511"/>
      <c r="AR21" s="511"/>
      <c r="AS21" s="1160">
        <v>0</v>
      </c>
    </row>
    <row s="1366" customFormat="1" customHeight="1" ht="33.75" hidden="1">
      <c r="L22" s="1329"/>
      <c r="M22" s="1362"/>
      <c r="N22" s="1362"/>
      <c r="O22" s="1364" t="s">
        <v>420</v>
      </c>
      <c r="P22" s="1362"/>
      <c r="Q22" s="1371"/>
      <c r="R22" s="1371"/>
      <c r="S22" s="729"/>
      <c r="T22" s="1160" t="s">
        <v>421</v>
      </c>
      <c r="AA22" s="186" t="s">
        <v>422</v>
      </c>
      <c r="AC22" s="186" t="s">
        <v>423</v>
      </c>
      <c r="AD22" s="1160" t="s">
        <v>421</v>
      </c>
      <c r="AI22" s="186" t="s">
        <v>424</v>
      </c>
      <c r="AK22" s="186" t="s">
        <v>423</v>
      </c>
      <c r="AN22" s="511"/>
      <c r="AO22" s="511"/>
      <c r="AP22" s="511"/>
      <c r="AQ22" s="511"/>
      <c r="AR22" s="511"/>
      <c r="AS22" s="1160">
        <v>0</v>
      </c>
    </row>
    <row customHeight="1" ht="14.25" hidden="1">
      <c r="O23" s="1364"/>
      <c r="AS23" s="1155">
        <v>0</v>
      </c>
    </row>
    <row customHeight="1" ht="14.25" hidden="1">
      <c r="O24" s="1364"/>
      <c r="AS24" s="1155">
        <v>0</v>
      </c>
    </row>
    <row customHeight="1" ht="14.699999999999998">
      <c r="Q25" s="376"/>
      <c r="R25" s="376"/>
      <c r="S25" s="1275"/>
      <c r="T25" s="363"/>
      <c r="U25" s="363"/>
      <c r="V25" s="509"/>
      <c r="W25" s="509"/>
      <c r="X25" s="509"/>
      <c r="Y25" s="509"/>
      <c r="Z25" s="509"/>
      <c r="AA25" s="509"/>
      <c r="AB25" s="509"/>
      <c r="AC25" s="509"/>
      <c r="AD25" s="509"/>
      <c r="AE25" s="509"/>
      <c r="AF25" s="509"/>
      <c r="AG25" s="509"/>
      <c r="AH25" s="509"/>
      <c r="AI25" s="509"/>
      <c r="AJ25" s="509"/>
      <c r="AK25" s="509"/>
      <c r="AS25" s="1155">
        <v>14</v>
      </c>
    </row>
    <row customHeight="1" ht="29.25">
      <c r="Q26" s="376"/>
      <c r="R26" s="376"/>
      <c r="S26" s="2248"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248"/>
      <c r="U26" s="2248"/>
      <c r="V26" s="2248"/>
      <c r="W26" s="2248"/>
      <c r="X26" s="2248"/>
      <c r="Y26" s="2248"/>
      <c r="Z26" s="2248"/>
      <c r="AA26" s="2248"/>
      <c r="AB26" s="2248"/>
      <c r="AC26" s="2248"/>
      <c r="AD26" s="2248"/>
      <c r="AE26" s="2248"/>
      <c r="AF26" s="2248"/>
      <c r="AG26" s="2248"/>
      <c r="AH26" s="2248"/>
      <c r="AI26" s="2248"/>
      <c r="AJ26" s="2248"/>
      <c r="AK26" s="1243"/>
      <c r="AS26" s="1155">
        <v>28</v>
      </c>
    </row>
    <row customHeight="1" ht="14.699999999999998">
      <c r="Q27" s="376"/>
      <c r="R27" s="376"/>
      <c r="S27" s="2249" t="str">
        <f>IF(org=0,"Не определено",org)</f>
        <v>ПАО "ОГК-2"</v>
      </c>
      <c r="T27" s="2249"/>
      <c r="U27" s="2249"/>
      <c r="V27" s="2249"/>
      <c r="W27" s="2249"/>
      <c r="X27" s="2249"/>
      <c r="Y27" s="2249"/>
      <c r="Z27" s="2249"/>
      <c r="AA27" s="2249"/>
      <c r="AB27" s="2249"/>
      <c r="AC27" s="2249"/>
      <c r="AD27" s="2249"/>
      <c r="AE27" s="2249"/>
      <c r="AF27" s="2249"/>
      <c r="AG27" s="2249"/>
      <c r="AH27" s="2249"/>
      <c r="AI27" s="2249"/>
      <c r="AJ27" s="2249"/>
      <c r="AK27" s="1243"/>
      <c r="AS27" s="1155">
        <v>14</v>
      </c>
    </row>
    <row customHeight="1" ht="14.25" hidden="1">
      <c r="Q28" s="376"/>
      <c r="R28" s="376"/>
      <c r="S28" s="1275"/>
      <c r="T28" s="363"/>
      <c r="U28" s="363"/>
      <c r="V28" s="322"/>
      <c r="W28" s="322"/>
      <c r="X28" s="322"/>
      <c r="Y28" s="322"/>
      <c r="Z28" s="322"/>
      <c r="AA28" s="322"/>
      <c r="AB28" s="322"/>
      <c r="AC28" s="322"/>
      <c r="AD28" s="322"/>
      <c r="AE28" s="322"/>
      <c r="AF28" s="322"/>
      <c r="AG28" s="322"/>
      <c r="AH28" s="322"/>
      <c r="AI28" s="322"/>
      <c r="AJ28" s="322"/>
      <c r="AK28" s="322"/>
      <c r="AL28" s="509"/>
      <c r="AS28" s="1155">
        <v>0</v>
      </c>
    </row>
    <row s="1853" customFormat="1" customHeight="1" ht="25.5" hidden="1">
      <c r="A29" s="1368"/>
      <c r="B29" s="1368"/>
      <c r="C29" s="1368"/>
      <c r="D29" s="1368"/>
      <c r="E29" s="1368"/>
      <c r="F29" s="1368"/>
      <c r="G29" s="1368"/>
      <c r="H29" s="1368"/>
      <c r="I29" s="1368"/>
      <c r="J29" s="1368"/>
      <c r="K29" s="1368"/>
      <c r="L29" s="1369"/>
      <c r="M29" s="1368"/>
      <c r="N29" s="1368"/>
      <c r="O29" s="1368"/>
      <c r="S29" s="2250" t="s">
        <v>42</v>
      </c>
      <c r="T29" s="2250"/>
      <c r="U29" s="1372"/>
      <c r="V29" s="2251" t="str">
        <f>IF(TITLE_NAME_OR_PR_CHANGE="",IF(TITLE_NAME_OR_PR="","",TITLE_NAME_OR_PR),TITLE_NAME_OR_PR_CHANGE)</f>
        <v/>
      </c>
      <c r="W29" s="2251"/>
      <c r="X29" s="2251"/>
      <c r="Y29" s="2251"/>
      <c r="Z29" s="2251"/>
      <c r="AA29" s="2251"/>
      <c r="AB29" s="2251"/>
      <c r="AC29" s="326"/>
      <c r="AD29" s="2251" t="str">
        <f>IF(TITLE_NAME_OR_PR_CHANGE="",IF(TITLE_NAME_OR_PR="","",TITLE_NAME_OR_PR),TITLE_NAME_OR_PR_CHANGE)</f>
        <v/>
      </c>
      <c r="AE29" s="2251"/>
      <c r="AF29" s="2251"/>
      <c r="AG29" s="2251"/>
      <c r="AH29" s="2251"/>
      <c r="AI29" s="2251"/>
      <c r="AJ29" s="2251"/>
      <c r="AK29" s="326"/>
      <c r="AL29" s="326"/>
      <c r="AM29" s="280"/>
      <c r="AN29" s="368"/>
      <c r="AO29" s="368"/>
      <c r="AP29" s="368"/>
      <c r="AQ29" s="368"/>
      <c r="AR29" s="368"/>
      <c r="AS29" s="418">
        <v>0</v>
      </c>
    </row>
    <row s="1853" customFormat="1" customHeight="1" ht="18.75" hidden="1">
      <c r="A30" s="1368"/>
      <c r="B30" s="1368"/>
      <c r="C30" s="1368"/>
      <c r="D30" s="1368"/>
      <c r="E30" s="1368"/>
      <c r="F30" s="1368"/>
      <c r="G30" s="1368"/>
      <c r="H30" s="1368"/>
      <c r="I30" s="1368"/>
      <c r="J30" s="1368"/>
      <c r="K30" s="1368"/>
      <c r="L30" s="1369"/>
      <c r="M30" s="1368"/>
      <c r="N30" s="1368"/>
      <c r="O30" s="1368"/>
      <c r="S30" s="2250" t="s">
        <v>425</v>
      </c>
      <c r="T30" s="2250"/>
      <c r="U30" s="1372"/>
      <c r="V30" s="2264" t="str">
        <f>IF(TITLE_DATE_PR_CHANGE="",IF(TITLE_DATE_PR="","",TITLE_DATE_PR),TITLE_DATE_PR_CHANGE)</f>
        <v/>
      </c>
      <c r="W30" s="2264"/>
      <c r="X30" s="2264"/>
      <c r="Y30" s="2264"/>
      <c r="Z30" s="2264"/>
      <c r="AA30" s="2264"/>
      <c r="AB30" s="2264"/>
      <c r="AC30" s="326"/>
      <c r="AD30" s="2264" t="str">
        <f>IF(TITLE_DATE_PR_CHANGE="",IF(TITLE_DATE_PR="","",TITLE_DATE_PR),TITLE_DATE_PR_CHANGE)</f>
        <v/>
      </c>
      <c r="AE30" s="2264"/>
      <c r="AF30" s="2264"/>
      <c r="AG30" s="2264"/>
      <c r="AH30" s="2264"/>
      <c r="AI30" s="2264"/>
      <c r="AJ30" s="2264"/>
      <c r="AK30" s="326"/>
      <c r="AL30" s="326"/>
      <c r="AM30" s="280"/>
      <c r="AN30" s="368"/>
      <c r="AO30" s="368"/>
      <c r="AP30" s="368"/>
      <c r="AQ30" s="368"/>
      <c r="AR30" s="368"/>
      <c r="AS30" s="418">
        <v>0</v>
      </c>
    </row>
    <row s="1853" customFormat="1" customHeight="1" ht="18.75" hidden="1">
      <c r="A31" s="1368"/>
      <c r="B31" s="1368"/>
      <c r="C31" s="1368"/>
      <c r="D31" s="1368"/>
      <c r="E31" s="1368"/>
      <c r="F31" s="1368"/>
      <c r="G31" s="1368"/>
      <c r="H31" s="1368"/>
      <c r="I31" s="1368"/>
      <c r="J31" s="1368"/>
      <c r="K31" s="1368"/>
      <c r="L31" s="1369"/>
      <c r="M31" s="1368"/>
      <c r="N31" s="1368"/>
      <c r="O31" s="1368"/>
      <c r="S31" s="2250" t="s">
        <v>426</v>
      </c>
      <c r="T31" s="2250"/>
      <c r="U31" s="1372"/>
      <c r="V31" s="2251" t="str">
        <f>IF(TITLE_NUMBER_PR_CHANGE="",IF(TITLE_NUMBER_PR="","",TITLE_NUMBER_PR),TITLE_NUMBER_PR_CHANGE)</f>
        <v/>
      </c>
      <c r="W31" s="2251"/>
      <c r="X31" s="2251"/>
      <c r="Y31" s="2251"/>
      <c r="Z31" s="2251"/>
      <c r="AA31" s="2251"/>
      <c r="AB31" s="2251"/>
      <c r="AC31" s="326"/>
      <c r="AD31" s="2251" t="str">
        <f>IF(TITLE_NUMBER_PR_CHANGE="",IF(TITLE_NUMBER_PR="","",TITLE_NUMBER_PR),TITLE_NUMBER_PR_CHANGE)</f>
        <v/>
      </c>
      <c r="AE31" s="2251"/>
      <c r="AF31" s="2251"/>
      <c r="AG31" s="2251"/>
      <c r="AH31" s="2251"/>
      <c r="AI31" s="2251"/>
      <c r="AJ31" s="2251"/>
      <c r="AK31" s="326"/>
      <c r="AL31" s="326"/>
      <c r="AM31" s="280"/>
      <c r="AN31" s="368"/>
      <c r="AO31" s="368"/>
      <c r="AP31" s="368"/>
      <c r="AQ31" s="368"/>
      <c r="AR31" s="368"/>
      <c r="AS31" s="418">
        <v>0</v>
      </c>
    </row>
    <row s="1853" customFormat="1" customHeight="1" ht="18.75" hidden="1">
      <c r="A32" s="1368"/>
      <c r="B32" s="1368"/>
      <c r="C32" s="1368"/>
      <c r="D32" s="1368"/>
      <c r="E32" s="1368"/>
      <c r="F32" s="1368"/>
      <c r="G32" s="1368"/>
      <c r="H32" s="1368"/>
      <c r="I32" s="1368"/>
      <c r="J32" s="1368"/>
      <c r="K32" s="1368"/>
      <c r="L32" s="1369"/>
      <c r="M32" s="1368"/>
      <c r="N32" s="1368"/>
      <c r="O32" s="1368"/>
      <c r="S32" s="2250" t="s">
        <v>43</v>
      </c>
      <c r="T32" s="2250"/>
      <c r="U32" s="1372"/>
      <c r="V32" s="2251" t="str">
        <f>IF(TITLE_IST_PUB_CHANGE="",IF(TITLE_IST_PUB="","",TITLE_IST_PUB),TITLE_IST_PUB_CHANGE)</f>
        <v/>
      </c>
      <c r="W32" s="2251"/>
      <c r="X32" s="2251"/>
      <c r="Y32" s="2251"/>
      <c r="Z32" s="2251"/>
      <c r="AA32" s="2251"/>
      <c r="AB32" s="2251"/>
      <c r="AC32" s="326"/>
      <c r="AD32" s="2251" t="str">
        <f>IF(TITLE_IST_PUB_CHANGE="",IF(TITLE_IST_PUB="","",TITLE_IST_PUB),TITLE_IST_PUB_CHANGE)</f>
        <v/>
      </c>
      <c r="AE32" s="2251"/>
      <c r="AF32" s="2251"/>
      <c r="AG32" s="2251"/>
      <c r="AH32" s="2251"/>
      <c r="AI32" s="2251"/>
      <c r="AJ32" s="2251"/>
      <c r="AK32" s="326"/>
      <c r="AL32" s="326"/>
      <c r="AM32" s="280"/>
      <c r="AN32" s="368"/>
      <c r="AO32" s="368"/>
      <c r="AP32" s="368"/>
      <c r="AQ32" s="368"/>
      <c r="AR32" s="368"/>
      <c r="AS32" s="418">
        <v>0</v>
      </c>
    </row>
    <row customHeight="1" ht="14.25" hidden="1">
      <c r="Q33" s="376"/>
      <c r="R33" s="376"/>
      <c r="S33" s="1275"/>
      <c r="T33" s="363"/>
      <c r="U33" s="363"/>
      <c r="V33" s="322"/>
      <c r="W33" s="322"/>
      <c r="X33" s="322"/>
      <c r="Y33" s="322"/>
      <c r="Z33" s="322"/>
      <c r="AA33" s="322"/>
      <c r="AB33" s="322"/>
      <c r="AC33" s="322"/>
      <c r="AD33" s="322"/>
      <c r="AE33" s="322"/>
      <c r="AF33" s="322"/>
      <c r="AG33" s="322"/>
      <c r="AH33" s="322"/>
      <c r="AI33" s="322"/>
      <c r="AJ33" s="322"/>
      <c r="AK33" s="322"/>
      <c r="AL33" s="509"/>
      <c r="AS33" s="1155">
        <v>0</v>
      </c>
    </row>
    <row s="1853" customFormat="1" customHeight="1" ht="18.75" hidden="1">
      <c r="A34" s="1368"/>
      <c r="B34" s="1368"/>
      <c r="C34" s="1368"/>
      <c r="D34" s="1368"/>
      <c r="E34" s="1368"/>
      <c r="F34" s="1368"/>
      <c r="G34" s="1368"/>
      <c r="H34" s="1368"/>
      <c r="I34" s="1368"/>
      <c r="J34" s="1368"/>
      <c r="K34" s="1368"/>
      <c r="L34" s="1369"/>
      <c r="M34" s="1368"/>
      <c r="N34" s="1368"/>
      <c r="O34" s="1368"/>
      <c r="S34" s="2250" t="s">
        <v>427</v>
      </c>
      <c r="T34" s="2250"/>
      <c r="U34" s="1372"/>
      <c r="V34" s="2264" t="str">
        <f>IF(TITLE_DATE_PR_CHANGE="",IF(TITLE_DATE_PR="","",TITLE_DATE_PR),TITLE_DATE_PR_CHANGE)</f>
        <v/>
      </c>
      <c r="W34" s="2264"/>
      <c r="X34" s="2264"/>
      <c r="Y34" s="2264"/>
      <c r="Z34" s="2264"/>
      <c r="AA34" s="2264"/>
      <c r="AB34" s="2264"/>
      <c r="AC34" s="326"/>
      <c r="AD34" s="2264" t="str">
        <f>IF(TITLE_DATE_PR_CHANGE="",IF(TITLE_DATE_PR="","",TITLE_DATE_PR),TITLE_DATE_PR_CHANGE)</f>
        <v/>
      </c>
      <c r="AE34" s="2264"/>
      <c r="AF34" s="2264"/>
      <c r="AG34" s="2264"/>
      <c r="AH34" s="2264"/>
      <c r="AI34" s="2264"/>
      <c r="AJ34" s="2264"/>
      <c r="AK34" s="326"/>
      <c r="AL34" s="326"/>
      <c r="AM34" s="280"/>
      <c r="AN34" s="368"/>
      <c r="AO34" s="368"/>
      <c r="AP34" s="368"/>
      <c r="AQ34" s="368"/>
      <c r="AR34" s="368"/>
      <c r="AS34" s="418">
        <v>0</v>
      </c>
    </row>
    <row s="1853" customFormat="1" customHeight="1" ht="18.75" hidden="1">
      <c r="A35" s="1368"/>
      <c r="B35" s="1368"/>
      <c r="C35" s="1368"/>
      <c r="D35" s="1368"/>
      <c r="E35" s="1368"/>
      <c r="F35" s="1368"/>
      <c r="G35" s="1368"/>
      <c r="H35" s="1368"/>
      <c r="I35" s="1368"/>
      <c r="J35" s="1368"/>
      <c r="K35" s="1368"/>
      <c r="L35" s="1369"/>
      <c r="M35" s="1368"/>
      <c r="N35" s="1368"/>
      <c r="O35" s="1368"/>
      <c r="S35" s="2250" t="s">
        <v>428</v>
      </c>
      <c r="T35" s="2250"/>
      <c r="U35" s="1372"/>
      <c r="V35" s="2251" t="str">
        <f>IF(TITLE_NUMBER_PR_CHANGE="",IF(TITLE_NUMBER_PR="","",TITLE_NUMBER_PR),TITLE_NUMBER_PR_CHANGE)</f>
        <v/>
      </c>
      <c r="W35" s="2251"/>
      <c r="X35" s="2251"/>
      <c r="Y35" s="2251"/>
      <c r="Z35" s="2251"/>
      <c r="AA35" s="2251"/>
      <c r="AB35" s="2251"/>
      <c r="AC35" s="326"/>
      <c r="AD35" s="2251" t="str">
        <f>IF(TITLE_NUMBER_PR_CHANGE="",IF(TITLE_NUMBER_PR="","",TITLE_NUMBER_PR),TITLE_NUMBER_PR_CHANGE)</f>
        <v/>
      </c>
      <c r="AE35" s="2251"/>
      <c r="AF35" s="2251"/>
      <c r="AG35" s="2251"/>
      <c r="AH35" s="2251"/>
      <c r="AI35" s="2251"/>
      <c r="AJ35" s="2251"/>
      <c r="AK35" s="326"/>
      <c r="AL35" s="326"/>
      <c r="AM35" s="280"/>
      <c r="AN35" s="368"/>
      <c r="AO35" s="368"/>
      <c r="AP35" s="368"/>
      <c r="AQ35" s="368"/>
      <c r="AR35" s="368"/>
      <c r="AS35" s="418">
        <v>0</v>
      </c>
    </row>
    <row s="1853" customFormat="1" customHeight="1" ht="0">
      <c r="A36" s="1368"/>
      <c r="B36" s="1368"/>
      <c r="C36" s="1368"/>
      <c r="D36" s="1368"/>
      <c r="E36" s="1368"/>
      <c r="F36" s="1368"/>
      <c r="G36" s="1368"/>
      <c r="H36" s="1368"/>
      <c r="I36" s="1368"/>
      <c r="J36" s="1368"/>
      <c r="K36" s="1368"/>
      <c r="L36" s="1369"/>
      <c r="M36" s="1368"/>
      <c r="N36" s="1368"/>
      <c r="O36" s="1368"/>
      <c r="S36" s="323"/>
      <c r="T36" s="323"/>
      <c r="U36" s="1340"/>
      <c r="V36" s="326"/>
      <c r="W36" s="326"/>
      <c r="X36" s="326"/>
      <c r="Y36" s="326"/>
      <c r="Z36" s="326"/>
      <c r="AA36" s="326"/>
      <c r="AB36" s="326"/>
      <c r="AC36" s="278" t="s">
        <v>429</v>
      </c>
      <c r="AD36" s="326"/>
      <c r="AE36" s="326"/>
      <c r="AF36" s="326"/>
      <c r="AG36" s="326"/>
      <c r="AH36" s="326"/>
      <c r="AI36" s="326"/>
      <c r="AJ36" s="326"/>
      <c r="AK36" s="278" t="s">
        <v>429</v>
      </c>
      <c r="AN36" s="368"/>
      <c r="AO36" s="368"/>
      <c r="AP36" s="368"/>
      <c r="AQ36" s="368"/>
      <c r="AR36" s="368"/>
      <c r="AS36" s="418">
        <v>0</v>
      </c>
    </row>
    <row customHeight="1" ht="14.699999999999998">
      <c r="Q37" s="376"/>
      <c r="R37" s="376"/>
      <c r="S37" s="1275"/>
      <c r="T37" s="363"/>
      <c r="U37" s="1244"/>
      <c r="V37" s="2252"/>
      <c r="W37" s="2252"/>
      <c r="X37" s="2252"/>
      <c r="Y37" s="2252"/>
      <c r="Z37" s="2252"/>
      <c r="AA37" s="2252"/>
      <c r="AB37" s="2252"/>
      <c r="AC37" s="2252"/>
      <c r="AD37" s="2252"/>
      <c r="AE37" s="2252"/>
      <c r="AF37" s="2252"/>
      <c r="AG37" s="2252"/>
      <c r="AH37" s="2252"/>
      <c r="AI37" s="2252"/>
      <c r="AJ37" s="2252"/>
      <c r="AK37" s="2252"/>
      <c r="AS37" s="1155">
        <v>14</v>
      </c>
    </row>
    <row customHeight="1" ht="14.699999999999998">
      <c r="Q38" s="376"/>
      <c r="R38" s="376"/>
      <c r="S38" s="2127" t="s">
        <v>302</v>
      </c>
      <c r="T38" s="2127"/>
      <c r="U38" s="2127"/>
      <c r="V38" s="2127"/>
      <c r="W38" s="2127"/>
      <c r="X38" s="2127"/>
      <c r="Y38" s="2127"/>
      <c r="Z38" s="2127"/>
      <c r="AA38" s="2127"/>
      <c r="AB38" s="2127"/>
      <c r="AC38" s="2127"/>
      <c r="AD38" s="2127"/>
      <c r="AE38" s="2127"/>
      <c r="AF38" s="2127"/>
      <c r="AG38" s="2127"/>
      <c r="AH38" s="2127"/>
      <c r="AI38" s="2127"/>
      <c r="AJ38" s="2127"/>
      <c r="AK38" s="2127"/>
      <c r="AL38" s="2127"/>
      <c r="AM38" s="2127" t="s">
        <v>303</v>
      </c>
      <c r="AS38" s="1155">
        <v>14</v>
      </c>
    </row>
    <row customHeight="1" ht="14.699999999999998">
      <c r="Q39" s="376"/>
      <c r="R39" s="376"/>
      <c r="S39" s="2273" t="s">
        <v>88</v>
      </c>
      <c r="T39" s="2209" t="s">
        <v>430</v>
      </c>
      <c r="U39" s="301"/>
      <c r="V39" s="2274" t="s">
        <v>431</v>
      </c>
      <c r="W39" s="2275"/>
      <c r="X39" s="2291"/>
      <c r="Y39" s="2291"/>
      <c r="Z39" s="2275"/>
      <c r="AA39" s="2275"/>
      <c r="AB39" s="2276"/>
      <c r="AC39" s="2277" t="s">
        <v>432</v>
      </c>
      <c r="AD39" s="2274" t="s">
        <v>431</v>
      </c>
      <c r="AE39" s="2275"/>
      <c r="AF39" s="2291"/>
      <c r="AG39" s="2291"/>
      <c r="AH39" s="2275"/>
      <c r="AI39" s="2275"/>
      <c r="AJ39" s="2276"/>
      <c r="AK39" s="2277" t="s">
        <v>433</v>
      </c>
      <c r="AL39" s="2280" t="s">
        <v>434</v>
      </c>
      <c r="AM39" s="2127"/>
      <c r="AS39" s="1155">
        <v>14</v>
      </c>
    </row>
    <row customHeight="1" ht="24">
      <c r="Q40" s="376"/>
      <c r="R40" s="376"/>
      <c r="S40" s="2273"/>
      <c r="T40" s="2209"/>
      <c r="U40" s="1031"/>
      <c r="V40" s="2292" t="s">
        <v>435</v>
      </c>
      <c r="W40" s="2294" t="s">
        <v>436</v>
      </c>
      <c r="X40" s="1376" t="s">
        <v>437</v>
      </c>
      <c r="Y40" s="1376"/>
      <c r="Z40" s="2269" t="s">
        <v>438</v>
      </c>
      <c r="AA40" s="2269"/>
      <c r="AB40" s="2263"/>
      <c r="AC40" s="2278"/>
      <c r="AD40" s="2292" t="s">
        <v>435</v>
      </c>
      <c r="AE40" s="2294" t="s">
        <v>436</v>
      </c>
      <c r="AF40" s="1376" t="s">
        <v>437</v>
      </c>
      <c r="AG40" s="1376"/>
      <c r="AH40" s="2269" t="s">
        <v>438</v>
      </c>
      <c r="AI40" s="2269"/>
      <c r="AJ40" s="2263"/>
      <c r="AK40" s="2278"/>
      <c r="AL40" s="2281"/>
      <c r="AM40" s="2127"/>
      <c r="AS40" s="1155">
        <v>23</v>
      </c>
    </row>
    <row s="1266" customFormat="1" customHeight="1" ht="24">
      <c r="A41" s="1370"/>
      <c r="B41" s="1370" t="s">
        <v>139</v>
      </c>
      <c r="C41" s="1370" t="s">
        <v>140</v>
      </c>
      <c r="D41" s="1370" t="s">
        <v>141</v>
      </c>
      <c r="E41" s="1364" t="s">
        <v>439</v>
      </c>
      <c r="F41" s="1364" t="s">
        <v>440</v>
      </c>
      <c r="G41" s="1364" t="s">
        <v>441</v>
      </c>
      <c r="H41" s="1364" t="s">
        <v>442</v>
      </c>
      <c r="I41" s="1364" t="s">
        <v>443</v>
      </c>
      <c r="J41" s="1364" t="s">
        <v>444</v>
      </c>
      <c r="K41" s="1364" t="s">
        <v>445</v>
      </c>
      <c r="L41" s="1364" t="s">
        <v>420</v>
      </c>
      <c r="M41" s="1362"/>
      <c r="N41" s="1362"/>
      <c r="O41" s="1362"/>
      <c r="P41" s="1328"/>
      <c r="Q41" s="376"/>
      <c r="R41" s="376"/>
      <c r="S41" s="2273"/>
      <c r="T41" s="2209"/>
      <c r="U41" s="302"/>
      <c r="V41" s="2293"/>
      <c r="W41" s="2295"/>
      <c r="X41" s="1373" t="s">
        <v>446</v>
      </c>
      <c r="Y41" s="1373" t="s">
        <v>447</v>
      </c>
      <c r="Z41" s="1334" t="s">
        <v>448</v>
      </c>
      <c r="AA41" s="2270" t="s">
        <v>449</v>
      </c>
      <c r="AB41" s="2271"/>
      <c r="AC41" s="2279"/>
      <c r="AD41" s="2293"/>
      <c r="AE41" s="2295"/>
      <c r="AF41" s="1373" t="s">
        <v>446</v>
      </c>
      <c r="AG41" s="1373" t="s">
        <v>447</v>
      </c>
      <c r="AH41" s="1334" t="s">
        <v>448</v>
      </c>
      <c r="AI41" s="2270" t="s">
        <v>449</v>
      </c>
      <c r="AJ41" s="2271"/>
      <c r="AK41" s="2279"/>
      <c r="AL41" s="2282"/>
      <c r="AM41" s="2127"/>
      <c r="AN41" s="511"/>
      <c r="AO41" s="500"/>
      <c r="AP41" s="500"/>
      <c r="AQ41" s="500"/>
      <c r="AR41" s="500"/>
      <c r="AS41" s="582">
        <v>23</v>
      </c>
    </row>
    <row s="1641" customFormat="1" customHeight="1" ht="11.25" hidden="1">
      <c r="A42" s="1370"/>
      <c r="B42" s="1370"/>
      <c r="C42" s="1370"/>
      <c r="D42" s="1370"/>
      <c r="E42" s="1370"/>
      <c r="F42" s="1370"/>
      <c r="G42" s="1370"/>
      <c r="H42" s="1370"/>
      <c r="I42" s="1370"/>
      <c r="J42" s="1370"/>
      <c r="K42" s="1370"/>
      <c r="L42" s="1364"/>
      <c r="M42" s="1362"/>
      <c r="N42" s="1362"/>
      <c r="O42" s="1362"/>
      <c r="P42" s="1246"/>
      <c r="Q42" s="1247"/>
      <c r="R42" s="1254">
        <v>1</v>
      </c>
      <c r="S42" s="1277" t="s">
        <v>109</v>
      </c>
      <c r="T42" s="1255" t="s">
        <v>110</v>
      </c>
      <c r="U42" s="1245" t="str">
        <f>OFFSET(U42,0,-1)</f>
        <v>2</v>
      </c>
      <c r="V42" s="1335">
        <f>OFFSET(V42,0,-1)+1</f>
        <v>3</v>
      </c>
      <c r="W42" s="1335"/>
      <c r="X42" s="1341">
        <f>OFFSET(X42,0,-1)+1</f>
        <v>1</v>
      </c>
      <c r="Y42" s="1341">
        <f>OFFSET(Y42,0,-1)+1</f>
        <v>2</v>
      </c>
      <c r="Z42" s="1335">
        <f>OFFSET(Z42,0,-1)+1</f>
        <v>3</v>
      </c>
      <c r="AA42" s="2272">
        <f>OFFSET(AA42,0,-1)+1</f>
        <v>4</v>
      </c>
      <c r="AB42" s="2272"/>
      <c r="AC42" s="1335">
        <f>OFFSET(AC42,0,-2)+1</f>
        <v>5</v>
      </c>
      <c r="AD42" s="1335">
        <f>OFFSET(AD42,0,-1)+1</f>
        <v>6</v>
      </c>
      <c r="AE42" s="1335"/>
      <c r="AF42" s="1341">
        <f>OFFSET(AF42,0,-1)+1</f>
        <v>1</v>
      </c>
      <c r="AG42" s="1341">
        <f>OFFSET(AG42,0,-1)+1</f>
        <v>2</v>
      </c>
      <c r="AH42" s="1335">
        <f>OFFSET(AH42,0,-1)+1</f>
        <v>3</v>
      </c>
      <c r="AI42" s="2272">
        <f>OFFSET(AI42,0,-1)+1</f>
        <v>4</v>
      </c>
      <c r="AJ42" s="2272"/>
      <c r="AK42" s="1335">
        <f>OFFSET(AK42,0,-2)+1</f>
        <v>5</v>
      </c>
      <c r="AL42" s="1245">
        <f>OFFSET(AL42,0,-1)</f>
        <v>5</v>
      </c>
      <c r="AM42" s="1335">
        <f>OFFSET(AM42,0,-1)+1</f>
        <v>6</v>
      </c>
      <c r="AN42" s="511"/>
      <c r="AO42" s="511"/>
      <c r="AP42" s="511"/>
      <c r="AQ42" s="511"/>
      <c r="AR42" s="511"/>
      <c r="AS42" s="496">
        <v>0</v>
      </c>
    </row>
    <row customHeight="1" ht="22.049999999999997">
      <c r="A43" s="1363" t="s">
        <v>196</v>
      </c>
      <c r="B43" s="1363"/>
      <c r="C43" s="1363"/>
      <c r="D43" s="1363"/>
      <c r="E43" s="2258">
        <v>1</v>
      </c>
      <c r="F43" s="1363"/>
      <c r="G43" s="1363"/>
      <c r="H43" s="1363"/>
      <c r="I43" s="1363"/>
      <c r="J43" s="1363"/>
      <c r="K43" s="1363"/>
      <c r="L43" s="1364"/>
      <c r="M43" s="1365"/>
      <c r="N43" s="1365"/>
      <c r="O43" s="1365"/>
      <c r="P43" s="361"/>
      <c r="Q43" s="360"/>
      <c r="R43" s="355"/>
      <c r="S43" s="1336">
        <f>INDEX(PT_DIFFERENTIATION_NUM_NTAR,MATCH(A43,PT_DIFFERENTIATION_NTAR_ID,0))</f>
        <v>0</v>
      </c>
      <c r="T43" s="298" t="s">
        <v>127</v>
      </c>
      <c r="U43" s="300"/>
      <c r="V43" s="2242"/>
      <c r="W43" s="2243"/>
      <c r="X43" s="2243"/>
      <c r="Y43" s="2243"/>
      <c r="Z43" s="2243"/>
      <c r="AA43" s="2243"/>
      <c r="AB43" s="2243"/>
      <c r="AC43" s="2244"/>
      <c r="AD43" s="2242" t="str">
        <f>INDEX(PT_DIFFERENTIATION_NTAR,MATCH(A43,PT_DIFFERENTIATION_NTAR_ID,0))</f>
        <v/>
      </c>
      <c r="AE43" s="2243"/>
      <c r="AF43" s="2243"/>
      <c r="AG43" s="2243"/>
      <c r="AH43" s="2243"/>
      <c r="AI43" s="2243"/>
      <c r="AJ43" s="2243"/>
      <c r="AK43" s="2243"/>
      <c r="AL43" s="2244"/>
      <c r="AM43" s="1258"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00"/>
      <c r="AP43" s="500" t="str">
        <f>IF(T43="","",T43)</f>
        <v>Наименование тарифа</v>
      </c>
      <c r="AQ43" s="500"/>
      <c r="AR43" s="500"/>
      <c r="AS43" s="1155">
        <v>21</v>
      </c>
    </row>
    <row customHeight="1" ht="22.049999999999997">
      <c r="A44" s="1363" t="s">
        <v>196</v>
      </c>
      <c r="B44" s="1363" t="s">
        <v>197</v>
      </c>
      <c r="C44" s="1363"/>
      <c r="D44" s="1363"/>
      <c r="E44" s="2259"/>
      <c r="F44" s="2258">
        <v>1</v>
      </c>
      <c r="G44" s="1363"/>
      <c r="H44" s="1363"/>
      <c r="I44" s="1363"/>
      <c r="J44" s="1363"/>
      <c r="K44" s="1363"/>
      <c r="L44" s="1364"/>
      <c r="M44" s="1365"/>
      <c r="N44" s="1365"/>
      <c r="O44" s="1365"/>
      <c r="P44" s="1332"/>
      <c r="Q44" s="352"/>
      <c r="R44" s="353"/>
      <c r="S44" s="1336" t="str">
        <f>INDEX(PT_DIFFERENTIATION_NUM_TER,MATCH(B44,PT_DIFFERENTIATION_TER_ID,0))</f>
        <v>.</v>
      </c>
      <c r="T44" s="308" t="s">
        <v>399</v>
      </c>
      <c r="U44" s="300"/>
      <c r="V44" s="2242"/>
      <c r="W44" s="2243"/>
      <c r="X44" s="2243"/>
      <c r="Y44" s="2243"/>
      <c r="Z44" s="2243"/>
      <c r="AA44" s="2243"/>
      <c r="AB44" s="2243"/>
      <c r="AC44" s="2244"/>
      <c r="AD44" s="2242" t="str">
        <f>INDEX(PT_DIFFERENTIATION_TER,MATCH(B44,PT_DIFFERENTIATION_TER_ID,0))</f>
        <v/>
      </c>
      <c r="AE44" s="2243"/>
      <c r="AF44" s="2243"/>
      <c r="AG44" s="2243"/>
      <c r="AH44" s="2243"/>
      <c r="AI44" s="2243"/>
      <c r="AJ44" s="2243"/>
      <c r="AK44" s="2243"/>
      <c r="AL44" s="2244"/>
      <c r="AM44" s="1258" t="s">
        <v>400</v>
      </c>
      <c r="AO44" s="500"/>
      <c r="AP44" s="500" t="str">
        <f>IF(T44="","",T44)</f>
        <v>Территория действия тарифа</v>
      </c>
      <c r="AQ44" s="500"/>
      <c r="AR44" s="500"/>
      <c r="AS44" s="1155">
        <v>21</v>
      </c>
    </row>
    <row customHeight="1" ht="24">
      <c r="A45" s="1363" t="s">
        <v>196</v>
      </c>
      <c r="B45" s="1363" t="s">
        <v>197</v>
      </c>
      <c r="C45" s="1363" t="s">
        <v>198</v>
      </c>
      <c r="D45" s="1363"/>
      <c r="E45" s="2259"/>
      <c r="F45" s="2259"/>
      <c r="G45" s="2258">
        <v>1</v>
      </c>
      <c r="H45" s="1363"/>
      <c r="I45" s="1363"/>
      <c r="J45" s="1363"/>
      <c r="K45" s="1363"/>
      <c r="L45" s="1364"/>
      <c r="M45" s="1365"/>
      <c r="N45" s="1365"/>
      <c r="O45" s="1365"/>
      <c r="P45" s="354"/>
      <c r="Q45" s="352"/>
      <c r="R45" s="353"/>
      <c r="S45" s="1336" t="str">
        <f>INDEX(PT_DIFFERENTIATION_NUM_CS,MATCH(C45,PT_DIFFERENTIATION_CS_ID,0))</f>
        <v>..</v>
      </c>
      <c r="T45" s="309" t="s">
        <v>401</v>
      </c>
      <c r="U45" s="300"/>
      <c r="V45" s="2242"/>
      <c r="W45" s="2243"/>
      <c r="X45" s="2243"/>
      <c r="Y45" s="2243"/>
      <c r="Z45" s="2243"/>
      <c r="AA45" s="2243"/>
      <c r="AB45" s="2243"/>
      <c r="AC45" s="2244"/>
      <c r="AD45" s="2242" t="str">
        <f>INDEX(PT_DIFFERENTIATION_CS,MATCH(C45,PT_DIFFERENTIATION_CS_ID,0))</f>
        <v/>
      </c>
      <c r="AE45" s="2243"/>
      <c r="AF45" s="2243"/>
      <c r="AG45" s="2243"/>
      <c r="AH45" s="2243"/>
      <c r="AI45" s="2243"/>
      <c r="AJ45" s="2243"/>
      <c r="AK45" s="2243"/>
      <c r="AL45" s="2244"/>
      <c r="AM45" s="1258" t="s">
        <v>402</v>
      </c>
      <c r="AO45" s="500"/>
      <c r="AP45" s="500" t="str">
        <f>IF(T45="","",T45)</f>
        <v>Наименование системы теплоснабжения </v>
      </c>
      <c r="AQ45" s="500"/>
      <c r="AR45" s="500"/>
      <c r="AS45" s="1155">
        <v>23</v>
      </c>
    </row>
    <row customHeight="1" ht="22.049999999999997">
      <c r="A46" s="1363" t="s">
        <v>196</v>
      </c>
      <c r="B46" s="1363" t="s">
        <v>197</v>
      </c>
      <c r="C46" s="1363" t="s">
        <v>198</v>
      </c>
      <c r="D46" s="1363" t="s">
        <v>199</v>
      </c>
      <c r="E46" s="2259"/>
      <c r="F46" s="2259"/>
      <c r="G46" s="2259"/>
      <c r="H46" s="2258">
        <v>1</v>
      </c>
      <c r="I46" s="1363"/>
      <c r="J46" s="1363"/>
      <c r="K46" s="1363"/>
      <c r="L46" s="1364"/>
      <c r="M46" s="1365"/>
      <c r="N46" s="1365"/>
      <c r="O46" s="1365"/>
      <c r="P46" s="354"/>
      <c r="Q46" s="352"/>
      <c r="R46" s="353"/>
      <c r="S46" s="1336" t="str">
        <f>INDEX(PT_DIFFERENTIATION_NUM_IST_TE,MATCH(D46,PT_DIFFERENTIATION_IST_TE_ID,0))</f>
        <v>...</v>
      </c>
      <c r="T46" s="310" t="s">
        <v>403</v>
      </c>
      <c r="U46" s="300"/>
      <c r="V46" s="2242"/>
      <c r="W46" s="2243"/>
      <c r="X46" s="2243"/>
      <c r="Y46" s="2243"/>
      <c r="Z46" s="2243"/>
      <c r="AA46" s="2243"/>
      <c r="AB46" s="2243"/>
      <c r="AC46" s="2244"/>
      <c r="AD46" s="2242" t="str">
        <f>INDEX(PT_DIFFERENTIATION_IST_TE,MATCH(D46,PT_DIFFERENTIATION_IST_TE_ID,0))</f>
        <v/>
      </c>
      <c r="AE46" s="2243"/>
      <c r="AF46" s="2243"/>
      <c r="AG46" s="2243"/>
      <c r="AH46" s="2243"/>
      <c r="AI46" s="2243"/>
      <c r="AJ46" s="2243"/>
      <c r="AK46" s="2243"/>
      <c r="AL46" s="2244"/>
      <c r="AM46" s="1258" t="s">
        <v>404</v>
      </c>
      <c r="AO46" s="500"/>
      <c r="AP46" s="500" t="str">
        <f>IF(T46="","",T46)</f>
        <v>Источник тепловой энергии  </v>
      </c>
      <c r="AQ46" s="500"/>
      <c r="AR46" s="500"/>
      <c r="AS46" s="1155">
        <v>21</v>
      </c>
    </row>
    <row customHeight="1" ht="49.5">
      <c r="A47" s="1363" t="s">
        <v>196</v>
      </c>
      <c r="B47" s="1363" t="s">
        <v>197</v>
      </c>
      <c r="C47" s="1363" t="s">
        <v>198</v>
      </c>
      <c r="D47" s="1363" t="s">
        <v>199</v>
      </c>
      <c r="E47" s="2259"/>
      <c r="F47" s="2259"/>
      <c r="G47" s="2259"/>
      <c r="H47" s="2259"/>
      <c r="I47" s="2256" t="str">
        <f>S46&amp;".1"</f>
        <v>....1</v>
      </c>
      <c r="J47" s="1363"/>
      <c r="K47" s="1363"/>
      <c r="L47" s="1364" t="s">
        <v>405</v>
      </c>
      <c r="P47" s="2257">
        <v>1</v>
      </c>
      <c r="Q47" s="1331"/>
      <c r="R47" s="356"/>
      <c r="S47" s="1336" t="str">
        <f>$I47</f>
        <v>....1</v>
      </c>
      <c r="T47" s="285" t="s">
        <v>406</v>
      </c>
      <c r="U47" s="300"/>
      <c r="V47" s="2245"/>
      <c r="W47" s="2246"/>
      <c r="X47" s="2246"/>
      <c r="Y47" s="2246"/>
      <c r="Z47" s="2246"/>
      <c r="AA47" s="2246"/>
      <c r="AB47" s="2246"/>
      <c r="AC47" s="2247"/>
      <c r="AD47" s="2245"/>
      <c r="AE47" s="2246"/>
      <c r="AF47" s="2246"/>
      <c r="AG47" s="2246"/>
      <c r="AH47" s="2246"/>
      <c r="AI47" s="2246"/>
      <c r="AJ47" s="2246"/>
      <c r="AK47" s="2246"/>
      <c r="AL47" s="2247"/>
      <c r="AM47" s="1258" t="s">
        <v>407</v>
      </c>
      <c r="AO47" s="500"/>
      <c r="AP47" s="500" t="str">
        <f>IF(T47="","",T47)</f>
        <v>Схема подключения теплопотребляющей установки к коллектору источника тепловой энергии</v>
      </c>
      <c r="AQ47" s="500"/>
      <c r="AR47" s="500"/>
      <c r="AS47" s="1155">
        <v>47</v>
      </c>
    </row>
    <row customHeight="1" ht="22.049999999999997">
      <c r="A48" s="1363" t="s">
        <v>196</v>
      </c>
      <c r="B48" s="1363" t="s">
        <v>197</v>
      </c>
      <c r="C48" s="1363" t="s">
        <v>198</v>
      </c>
      <c r="D48" s="1363" t="s">
        <v>199</v>
      </c>
      <c r="E48" s="2259"/>
      <c r="F48" s="2259"/>
      <c r="G48" s="2259"/>
      <c r="H48" s="2259"/>
      <c r="I48" s="2286"/>
      <c r="J48" s="2256" t="str">
        <f>I47&amp;".1"</f>
        <v>....1.1</v>
      </c>
      <c r="K48" s="1363"/>
      <c r="L48" s="1364" t="s">
        <v>408</v>
      </c>
      <c r="P48" s="2257"/>
      <c r="Q48" s="2257">
        <v>1</v>
      </c>
      <c r="R48" s="357"/>
      <c r="S48" s="1336" t="str">
        <f>$J48</f>
        <v>....1.1</v>
      </c>
      <c r="T48" s="286" t="s">
        <v>409</v>
      </c>
      <c r="U48" s="300"/>
      <c r="V48" s="2245"/>
      <c r="W48" s="2246"/>
      <c r="X48" s="2246"/>
      <c r="Y48" s="2246"/>
      <c r="Z48" s="2246"/>
      <c r="AA48" s="2246"/>
      <c r="AB48" s="2246"/>
      <c r="AC48" s="2247"/>
      <c r="AD48" s="2245"/>
      <c r="AE48" s="2246"/>
      <c r="AF48" s="2246"/>
      <c r="AG48" s="2246"/>
      <c r="AH48" s="2246"/>
      <c r="AI48" s="2246"/>
      <c r="AJ48" s="2246"/>
      <c r="AK48" s="2246"/>
      <c r="AL48" s="2247"/>
      <c r="AM48" s="1258" t="s">
        <v>410</v>
      </c>
      <c r="AO48" s="500"/>
      <c r="AP48" s="500" t="str">
        <f>IF(T48="","",T48)</f>
        <v>Группа потребителей</v>
      </c>
      <c r="AQ48" s="500"/>
      <c r="AR48" s="500"/>
      <c r="AS48" s="1155">
        <v>21</v>
      </c>
    </row>
    <row customHeight="1" ht="22.049999999999997">
      <c r="A49" s="1363" t="s">
        <v>196</v>
      </c>
      <c r="B49" s="1363" t="s">
        <v>197</v>
      </c>
      <c r="C49" s="1363" t="s">
        <v>198</v>
      </c>
      <c r="D49" s="1363" t="s">
        <v>199</v>
      </c>
      <c r="E49" s="2259"/>
      <c r="F49" s="2259"/>
      <c r="G49" s="2259"/>
      <c r="H49" s="2259"/>
      <c r="I49" s="2286"/>
      <c r="J49" s="2286"/>
      <c r="K49" s="2256" t="str">
        <f>J48&amp;".1"</f>
        <v>....1.1.1</v>
      </c>
      <c r="L49" s="1364" t="s">
        <v>411</v>
      </c>
      <c r="P49" s="2257"/>
      <c r="Q49" s="2257"/>
      <c r="R49" s="357">
        <v>1</v>
      </c>
      <c r="S49" s="1336" t="str">
        <f>$K49</f>
        <v>....1.1.1</v>
      </c>
      <c r="T49" s="1347"/>
      <c r="U49" s="300"/>
      <c r="V49" s="325"/>
      <c r="W49" s="751"/>
      <c r="X49" s="325"/>
      <c r="Y49" s="384"/>
      <c r="Z49" s="2265"/>
      <c r="AA49" s="2107" t="s">
        <v>66</v>
      </c>
      <c r="AB49" s="2265"/>
      <c r="AC49" s="2107" t="s">
        <v>66</v>
      </c>
      <c r="AD49" s="325"/>
      <c r="AE49" s="751"/>
      <c r="AF49" s="325"/>
      <c r="AG49" s="384"/>
      <c r="AH49" s="2265"/>
      <c r="AI49" s="2107" t="s">
        <v>66</v>
      </c>
      <c r="AJ49" s="2287"/>
      <c r="AK49" s="2107" t="s">
        <v>66</v>
      </c>
      <c r="AL49" s="1348"/>
      <c r="AM49" s="2253" t="s">
        <v>412</v>
      </c>
      <c r="AN49" s="511">
        <f>STRCHECKDATE(V50:AL50)</f>
      </c>
      <c r="AO49" s="500"/>
      <c r="AP49" s="500" t="str">
        <f>IF(T49="","",T49)</f>
        <v/>
      </c>
      <c r="AQ49" s="500"/>
      <c r="AR49" s="500"/>
      <c r="AS49" s="1155">
        <v>21</v>
      </c>
    </row>
    <row customHeight="1" ht="1.05">
      <c r="A50" s="1363" t="s">
        <v>196</v>
      </c>
      <c r="B50" s="1363" t="s">
        <v>197</v>
      </c>
      <c r="C50" s="1363" t="s">
        <v>198</v>
      </c>
      <c r="D50" s="1363" t="s">
        <v>199</v>
      </c>
      <c r="E50" s="2259"/>
      <c r="F50" s="2259"/>
      <c r="G50" s="2259"/>
      <c r="H50" s="2259"/>
      <c r="I50" s="2286"/>
      <c r="J50" s="2286"/>
      <c r="K50" s="2256"/>
      <c r="L50" s="1364"/>
      <c r="P50" s="2257"/>
      <c r="Q50" s="2257"/>
      <c r="R50" s="357"/>
      <c r="S50" s="1342"/>
      <c r="T50" s="300"/>
      <c r="U50" s="300"/>
      <c r="V50" s="325"/>
      <c r="W50" s="325"/>
      <c r="X50" s="325"/>
      <c r="Y50" s="328" t="str">
        <f>Z49&amp;"-"&amp;AB49</f>
        <v>-</v>
      </c>
      <c r="Z50" s="2266"/>
      <c r="AA50" s="2107"/>
      <c r="AB50" s="2266"/>
      <c r="AC50" s="2107"/>
      <c r="AD50" s="325"/>
      <c r="AE50" s="325"/>
      <c r="AF50" s="325"/>
      <c r="AG50" s="328" t="str">
        <f>AH49&amp;"-"&amp;AJ49</f>
        <v>-</v>
      </c>
      <c r="AH50" s="2266"/>
      <c r="AI50" s="2107"/>
      <c r="AJ50" s="2288"/>
      <c r="AK50" s="2107"/>
      <c r="AL50" s="1349"/>
      <c r="AM50" s="2254"/>
      <c r="AO50" s="500"/>
      <c r="AP50" s="500" t="str">
        <f>IF(T50="","",T50)</f>
        <v/>
      </c>
      <c r="AQ50" s="500"/>
      <c r="AR50" s="500"/>
      <c r="AS50" s="1155">
        <v>1</v>
      </c>
    </row>
    <row customHeight="1" ht="11.549999999999999">
      <c r="A51" s="1363" t="s">
        <v>196</v>
      </c>
      <c r="B51" s="1363" t="s">
        <v>197</v>
      </c>
      <c r="C51" s="1363" t="s">
        <v>198</v>
      </c>
      <c r="D51" s="1363" t="s">
        <v>199</v>
      </c>
      <c r="E51" s="2259"/>
      <c r="F51" s="2259"/>
      <c r="G51" s="2259"/>
      <c r="H51" s="2259"/>
      <c r="I51" s="2286"/>
      <c r="J51" s="2256"/>
      <c r="K51" s="1363"/>
      <c r="L51" s="1364"/>
      <c r="P51" s="2257"/>
      <c r="Q51" s="2257"/>
      <c r="R51" s="356"/>
      <c r="S51" s="1278"/>
      <c r="T51" s="288" t="s">
        <v>413</v>
      </c>
      <c r="U51" s="367"/>
      <c r="V51" s="367"/>
      <c r="W51" s="367"/>
      <c r="X51" s="367"/>
      <c r="Y51" s="367"/>
      <c r="Z51" s="367"/>
      <c r="AA51" s="367"/>
      <c r="AB51" s="367"/>
      <c r="AC51" s="367"/>
      <c r="AD51" s="367"/>
      <c r="AE51" s="367"/>
      <c r="AF51" s="367"/>
      <c r="AG51" s="367"/>
      <c r="AH51" s="367"/>
      <c r="AI51" s="367"/>
      <c r="AJ51" s="367"/>
      <c r="AK51" s="367"/>
      <c r="AL51" s="324"/>
      <c r="AM51" s="2255"/>
      <c r="AO51" s="500"/>
      <c r="AP51" s="500" t="str">
        <f>IF(T51="","",T51)</f>
        <v>Добавить вид теплоносителя (параметры теплоносителя)</v>
      </c>
      <c r="AQ51" s="500"/>
      <c r="AR51" s="500"/>
      <c r="AS51" s="1155">
        <v>11</v>
      </c>
    </row>
    <row customHeight="1" ht="11.549999999999999">
      <c r="A52" s="1363" t="s">
        <v>196</v>
      </c>
      <c r="B52" s="1363" t="s">
        <v>197</v>
      </c>
      <c r="C52" s="1363" t="s">
        <v>198</v>
      </c>
      <c r="D52" s="1363" t="s">
        <v>199</v>
      </c>
      <c r="E52" s="2259"/>
      <c r="F52" s="2259"/>
      <c r="G52" s="2259"/>
      <c r="H52" s="2259"/>
      <c r="I52" s="2256"/>
      <c r="J52" s="1363"/>
      <c r="K52" s="1363"/>
      <c r="L52" s="1364"/>
      <c r="P52" s="2257"/>
      <c r="Q52" s="1331"/>
      <c r="R52" s="356"/>
      <c r="S52" s="1278"/>
      <c r="T52" s="287" t="s">
        <v>414</v>
      </c>
      <c r="U52" s="367"/>
      <c r="V52" s="367"/>
      <c r="W52" s="367"/>
      <c r="X52" s="367"/>
      <c r="Y52" s="367"/>
      <c r="Z52" s="367"/>
      <c r="AA52" s="367"/>
      <c r="AB52" s="367"/>
      <c r="AC52" s="366"/>
      <c r="AD52" s="367"/>
      <c r="AE52" s="367"/>
      <c r="AF52" s="367"/>
      <c r="AG52" s="367"/>
      <c r="AH52" s="367"/>
      <c r="AI52" s="367"/>
      <c r="AJ52" s="367"/>
      <c r="AK52" s="366"/>
      <c r="AL52" s="367"/>
      <c r="AM52" s="303"/>
      <c r="AO52" s="500"/>
      <c r="AP52" s="500" t="str">
        <f>IF(T52="","",T52)</f>
        <v>Добавить группу потребителей</v>
      </c>
      <c r="AQ52" s="500"/>
      <c r="AR52" s="500"/>
      <c r="AS52" s="1155">
        <v>11</v>
      </c>
    </row>
    <row customHeight="1" ht="14.699999999999998">
      <c r="A53" s="1363" t="s">
        <v>196</v>
      </c>
      <c r="B53" s="1363" t="s">
        <v>197</v>
      </c>
      <c r="C53" s="1363" t="s">
        <v>198</v>
      </c>
      <c r="D53" s="1363" t="s">
        <v>199</v>
      </c>
      <c r="E53" s="2259"/>
      <c r="F53" s="2259"/>
      <c r="G53" s="2259"/>
      <c r="H53" s="2258"/>
      <c r="I53" s="1363"/>
      <c r="J53" s="1363"/>
      <c r="K53" s="1363"/>
      <c r="L53" s="1364"/>
      <c r="M53" s="1365"/>
      <c r="N53" s="1365"/>
      <c r="O53" s="537"/>
      <c r="P53" s="360"/>
      <c r="Q53" s="375"/>
      <c r="R53" s="355"/>
      <c r="S53" s="1278"/>
      <c r="T53" s="365" t="s">
        <v>415</v>
      </c>
      <c r="U53" s="367"/>
      <c r="V53" s="367"/>
      <c r="W53" s="367"/>
      <c r="X53" s="367"/>
      <c r="Y53" s="367"/>
      <c r="Z53" s="367"/>
      <c r="AA53" s="367"/>
      <c r="AB53" s="367"/>
      <c r="AC53" s="366"/>
      <c r="AD53" s="367"/>
      <c r="AE53" s="367"/>
      <c r="AF53" s="367"/>
      <c r="AG53" s="367"/>
      <c r="AH53" s="367"/>
      <c r="AI53" s="367"/>
      <c r="AJ53" s="367"/>
      <c r="AK53" s="366"/>
      <c r="AL53" s="367"/>
      <c r="AM53" s="303"/>
      <c r="AO53" s="500"/>
      <c r="AP53" s="500" t="str">
        <f>IF(T53="","",T53)</f>
        <v>Добавить схему подключения</v>
      </c>
      <c r="AQ53" s="500"/>
      <c r="AR53" s="500"/>
      <c r="AS53" s="1155">
        <v>14</v>
      </c>
    </row>
    <row s="1642" customFormat="1" customHeight="1" ht="1.05">
      <c r="A54" s="1343" t="s">
        <v>196</v>
      </c>
      <c r="B54" s="1343" t="s">
        <v>197</v>
      </c>
      <c r="C54" s="1343" t="s">
        <v>198</v>
      </c>
      <c r="D54" s="1314"/>
      <c r="E54" s="2259"/>
      <c r="F54" s="2259"/>
      <c r="G54" s="2258"/>
      <c r="H54" s="1314"/>
      <c r="I54" s="1314"/>
      <c r="J54" s="1314"/>
      <c r="K54" s="1314"/>
      <c r="L54" s="1339"/>
      <c r="M54" s="1315"/>
      <c r="N54" s="1315"/>
      <c r="P54" s="1316"/>
      <c r="Q54" s="1317"/>
      <c r="R54" s="1316"/>
      <c r="S54" s="1322"/>
      <c r="T54" s="1325" t="s">
        <v>416</v>
      </c>
      <c r="U54" s="1324"/>
      <c r="V54" s="1324"/>
      <c r="W54" s="1324"/>
      <c r="X54" s="1324"/>
      <c r="Y54" s="1324"/>
      <c r="Z54" s="1324"/>
      <c r="AA54" s="1324"/>
      <c r="AB54" s="1324"/>
      <c r="AC54" s="1324"/>
      <c r="AD54" s="1324"/>
      <c r="AE54" s="1324"/>
      <c r="AF54" s="1324"/>
      <c r="AG54" s="1324"/>
      <c r="AH54" s="1324"/>
      <c r="AI54" s="1324"/>
      <c r="AJ54" s="1324"/>
      <c r="AK54" s="1324"/>
      <c r="AL54" s="1324"/>
      <c r="AM54" s="1324"/>
      <c r="AO54" s="789"/>
      <c r="AP54" s="789" t="str">
        <f>IF(T54="","",T54)</f>
        <v>Добавить источник для дифференциации</v>
      </c>
      <c r="AQ54" s="789"/>
      <c r="AR54" s="789"/>
      <c r="AS54" s="518">
        <v>1</v>
      </c>
    </row>
    <row s="1642" customFormat="1" customHeight="1" ht="1.05">
      <c r="A55" s="1343" t="s">
        <v>196</v>
      </c>
      <c r="B55" s="1343" t="s">
        <v>197</v>
      </c>
      <c r="C55" s="1314"/>
      <c r="D55" s="1314"/>
      <c r="E55" s="2259"/>
      <c r="F55" s="2258"/>
      <c r="G55" s="1314"/>
      <c r="H55" s="1314"/>
      <c r="I55" s="1314"/>
      <c r="J55" s="1314"/>
      <c r="K55" s="1314"/>
      <c r="L55" s="1339"/>
      <c r="M55" s="1321"/>
      <c r="N55" s="1321"/>
      <c r="P55" s="1316"/>
      <c r="Q55" s="1317"/>
      <c r="R55" s="1316"/>
      <c r="S55" s="1322"/>
      <c r="T55" s="1325" t="s">
        <v>417</v>
      </c>
      <c r="U55" s="1324"/>
      <c r="V55" s="1324"/>
      <c r="W55" s="1324"/>
      <c r="X55" s="1324"/>
      <c r="Y55" s="1324"/>
      <c r="Z55" s="1324"/>
      <c r="AA55" s="1324"/>
      <c r="AB55" s="1324"/>
      <c r="AC55" s="1324"/>
      <c r="AD55" s="1324"/>
      <c r="AE55" s="1324"/>
      <c r="AF55" s="1324"/>
      <c r="AG55" s="1324"/>
      <c r="AH55" s="1324"/>
      <c r="AI55" s="1324"/>
      <c r="AJ55" s="1324"/>
      <c r="AK55" s="1324"/>
      <c r="AL55" s="1324"/>
      <c r="AM55" s="1324"/>
      <c r="AO55" s="789"/>
      <c r="AP55" s="789" t="str">
        <f>IF(T55="","",T55)</f>
        <v>Добавить централизованную систему для дифференциации</v>
      </c>
      <c r="AQ55" s="789"/>
      <c r="AR55" s="789"/>
      <c r="AS55" s="518">
        <v>1</v>
      </c>
    </row>
    <row s="1642" customFormat="1" customHeight="1" ht="1.05">
      <c r="A56" s="1343" t="s">
        <v>196</v>
      </c>
      <c r="B56" s="1343"/>
      <c r="C56" s="1343"/>
      <c r="D56" s="1343"/>
      <c r="E56" s="2258"/>
      <c r="F56" s="1343"/>
      <c r="G56" s="1343"/>
      <c r="H56" s="1343"/>
      <c r="I56" s="1343"/>
      <c r="J56" s="1343"/>
      <c r="K56" s="1343"/>
      <c r="L56" s="1346"/>
      <c r="M56" s="1321"/>
      <c r="N56" s="1321"/>
      <c r="O56" s="518"/>
      <c r="P56" s="380"/>
      <c r="Q56" s="1344"/>
      <c r="R56" s="380"/>
      <c r="S56" s="1322"/>
      <c r="T56" s="1325" t="s">
        <v>418</v>
      </c>
      <c r="U56" s="1324"/>
      <c r="V56" s="1324"/>
      <c r="W56" s="1324"/>
      <c r="X56" s="1324"/>
      <c r="Y56" s="1324"/>
      <c r="Z56" s="1324"/>
      <c r="AA56" s="1324"/>
      <c r="AB56" s="1324"/>
      <c r="AC56" s="1324"/>
      <c r="AD56" s="1324"/>
      <c r="AE56" s="1324"/>
      <c r="AF56" s="1324"/>
      <c r="AG56" s="1324"/>
      <c r="AH56" s="1324"/>
      <c r="AI56" s="1324"/>
      <c r="AJ56" s="1324"/>
      <c r="AK56" s="1324"/>
      <c r="AL56" s="1324"/>
      <c r="AM56" s="1324"/>
      <c r="AO56" s="500"/>
      <c r="AP56" s="500" t="str">
        <f>IF(T56="","",T56)</f>
        <v>Добавить территорию для дифференциации</v>
      </c>
      <c r="AQ56" s="500"/>
      <c r="AR56" s="500"/>
      <c r="AS56" s="511">
        <v>1</v>
      </c>
    </row>
    <row s="1642" customFormat="1" customHeight="1" ht="1.05">
      <c r="A57" s="1314"/>
      <c r="B57" s="1314"/>
      <c r="C57" s="1314"/>
      <c r="D57" s="1314"/>
      <c r="E57" s="1343"/>
      <c r="F57" s="1314"/>
      <c r="G57" s="1314"/>
      <c r="H57" s="1314"/>
      <c r="I57" s="1314"/>
      <c r="J57" s="1314"/>
      <c r="K57" s="1314"/>
      <c r="L57" s="1339"/>
      <c r="M57" s="1321"/>
      <c r="N57" s="1321"/>
      <c r="P57" s="1316"/>
      <c r="Q57" s="1317"/>
      <c r="R57" s="1316"/>
      <c r="S57" s="1322"/>
      <c r="T57" s="1325" t="s">
        <v>450</v>
      </c>
      <c r="U57" s="1324"/>
      <c r="V57" s="1324"/>
      <c r="W57" s="1324"/>
      <c r="X57" s="1324"/>
      <c r="Y57" s="1324"/>
      <c r="Z57" s="1324"/>
      <c r="AA57" s="1324"/>
      <c r="AB57" s="1324"/>
      <c r="AC57" s="1324"/>
      <c r="AD57" s="1324"/>
      <c r="AE57" s="1324"/>
      <c r="AF57" s="1324"/>
      <c r="AG57" s="1324"/>
      <c r="AH57" s="1324"/>
      <c r="AI57" s="1324"/>
      <c r="AJ57" s="1324"/>
      <c r="AK57" s="1324"/>
      <c r="AL57" s="1324"/>
      <c r="AM57" s="1324"/>
      <c r="AO57" s="789"/>
      <c r="AP57" s="789" t="str">
        <f>IF(T57="","",T57)</f>
        <v>Добавить наименование тарифа</v>
      </c>
      <c r="AQ57" s="789"/>
      <c r="AR57" s="789"/>
      <c r="AS57" s="518">
        <v>1</v>
      </c>
    </row>
    <row customHeight="1" ht="11.549999999999999">
      <c r="M58" s="1160"/>
      <c r="N58" s="1160"/>
      <c r="O58" s="537"/>
      <c r="P58" s="1155"/>
      <c r="Q58" s="1155"/>
      <c r="R58" s="1155"/>
      <c r="S58" s="1155"/>
      <c r="AN58" s="1155"/>
      <c r="AO58" s="1155"/>
      <c r="AP58" s="1155"/>
      <c r="AQ58" s="1155"/>
      <c r="AR58" s="1155"/>
      <c r="AS58" s="1155">
        <v>11</v>
      </c>
    </row>
    <row customHeight="1" ht="28.5">
      <c r="O59" s="537"/>
      <c r="S59" s="1253"/>
      <c r="T59" s="2285"/>
      <c r="U59" s="2285"/>
      <c r="V59" s="2285"/>
      <c r="W59" s="2285"/>
      <c r="X59" s="2285"/>
      <c r="Y59" s="2285"/>
      <c r="Z59" s="2285"/>
      <c r="AA59" s="2285"/>
      <c r="AB59" s="2285"/>
      <c r="AC59" s="2285"/>
      <c r="AD59" s="2285"/>
      <c r="AE59" s="2285"/>
      <c r="AF59" s="2285"/>
      <c r="AG59" s="2285"/>
      <c r="AH59" s="2285"/>
      <c r="AI59" s="2285"/>
      <c r="AJ59" s="2285"/>
      <c r="AK59" s="2285"/>
      <c r="AL59" s="2285"/>
      <c r="AM59" s="2285"/>
      <c r="AS59" s="1155">
        <v>27</v>
      </c>
    </row>
    <row customHeight="1" ht="78.75">
      <c r="O60" s="537"/>
      <c r="T60" s="2285"/>
      <c r="U60" s="2285"/>
      <c r="V60" s="2285"/>
      <c r="W60" s="2285"/>
      <c r="X60" s="2285"/>
      <c r="Y60" s="2285"/>
      <c r="Z60" s="2285"/>
      <c r="AA60" s="2285"/>
      <c r="AB60" s="2285"/>
      <c r="AC60" s="2285"/>
      <c r="AD60" s="2285"/>
      <c r="AE60" s="2285"/>
      <c r="AF60" s="2285"/>
      <c r="AG60" s="2285"/>
      <c r="AH60" s="2285"/>
      <c r="AI60" s="2285"/>
      <c r="AJ60" s="2285"/>
      <c r="AK60" s="2285"/>
      <c r="AL60" s="2285"/>
      <c r="AM60" s="2285"/>
      <c r="AS60" s="1155">
        <v>75</v>
      </c>
    </row>
    <row customHeight="1" ht="14.699999999999998">
      <c r="O61" s="537"/>
      <c r="AS61" s="1155">
        <v>14</v>
      </c>
    </row>
    <row customHeight="1" ht="18.75">
      <c r="O62" s="537"/>
      <c r="S62" s="1253"/>
      <c r="T62" s="2285"/>
      <c r="U62" s="2285"/>
      <c r="V62" s="2285"/>
      <c r="W62" s="2285"/>
      <c r="X62" s="2285"/>
      <c r="Y62" s="2285"/>
      <c r="Z62" s="2285"/>
      <c r="AA62" s="2285"/>
      <c r="AB62" s="2285"/>
      <c r="AC62" s="2285"/>
      <c r="AD62" s="2285"/>
      <c r="AE62" s="2285"/>
      <c r="AF62" s="2285"/>
      <c r="AG62" s="2285"/>
      <c r="AH62" s="2285"/>
      <c r="AI62" s="2285"/>
      <c r="AJ62" s="2285"/>
      <c r="AK62" s="2285"/>
      <c r="AL62" s="2285"/>
      <c r="AM62" s="2285"/>
      <c r="AS62" s="1155">
        <v>18</v>
      </c>
    </row>
    <row customHeight="1" ht="18.75">
      <c r="O63" s="537"/>
      <c r="T63" s="2285"/>
      <c r="U63" s="2285"/>
      <c r="V63" s="2285"/>
      <c r="W63" s="2285"/>
      <c r="X63" s="2285"/>
      <c r="Y63" s="2285"/>
      <c r="Z63" s="2285"/>
      <c r="AA63" s="2285"/>
      <c r="AB63" s="2285"/>
      <c r="AC63" s="2285"/>
      <c r="AD63" s="2285"/>
      <c r="AE63" s="2285"/>
      <c r="AF63" s="2285"/>
      <c r="AG63" s="2285"/>
      <c r="AH63" s="2285"/>
      <c r="AI63" s="2285"/>
      <c r="AJ63" s="2285"/>
      <c r="AK63" s="2285"/>
      <c r="AL63" s="2285"/>
      <c r="AM63" s="2285"/>
      <c r="AS63" s="1155">
        <v>18</v>
      </c>
    </row>
    <row customHeight="1" ht="39.75">
      <c r="O64" s="537"/>
      <c r="S64" s="1253"/>
      <c r="T64" s="2285"/>
      <c r="U64" s="2285"/>
      <c r="V64" s="2285"/>
      <c r="W64" s="2285"/>
      <c r="X64" s="2285"/>
      <c r="Y64" s="2285"/>
      <c r="Z64" s="2285"/>
      <c r="AA64" s="2285"/>
      <c r="AB64" s="2285"/>
      <c r="AC64" s="2285"/>
      <c r="AD64" s="2285"/>
      <c r="AE64" s="2285"/>
      <c r="AF64" s="2285"/>
      <c r="AG64" s="2285"/>
      <c r="AH64" s="2285"/>
      <c r="AI64" s="2285"/>
      <c r="AJ64" s="2285"/>
      <c r="AK64" s="2285"/>
      <c r="AL64" s="2285"/>
      <c r="AM64" s="2285"/>
      <c r="AS64" s="1155">
        <v>38</v>
      </c>
    </row>
    <row customHeight="1" ht="22.5" hidden="1">
      <c r="A65" s="1160" t="s">
        <v>82</v>
      </c>
      <c r="B65" s="1160">
        <v>0</v>
      </c>
      <c r="C65" s="1160">
        <v>0</v>
      </c>
      <c r="D65" s="1160">
        <v>0</v>
      </c>
      <c r="E65" s="1160">
        <v>0</v>
      </c>
      <c r="F65" s="1160">
        <v>0</v>
      </c>
      <c r="G65" s="1160">
        <v>0</v>
      </c>
      <c r="H65" s="1160">
        <v>0</v>
      </c>
      <c r="I65" s="1160">
        <v>0</v>
      </c>
      <c r="J65" s="1160">
        <v>0</v>
      </c>
      <c r="K65" s="1160">
        <v>0</v>
      </c>
      <c r="L65" s="1329">
        <v>0</v>
      </c>
      <c r="M65" s="1362">
        <v>0</v>
      </c>
      <c r="N65" s="1362">
        <v>0</v>
      </c>
      <c r="O65" s="1362">
        <v>0</v>
      </c>
      <c r="P65" s="1328">
        <v>3</v>
      </c>
      <c r="Q65" s="344">
        <v>3</v>
      </c>
      <c r="R65" s="344">
        <v>3</v>
      </c>
      <c r="S65" s="581">
        <v>12</v>
      </c>
      <c r="T65" s="1155">
        <v>31</v>
      </c>
      <c r="U65" s="1155">
        <v>0</v>
      </c>
      <c r="V65" s="1155">
        <v>0</v>
      </c>
      <c r="W65" s="1155">
        <v>0</v>
      </c>
      <c r="X65" s="1155">
        <v>0</v>
      </c>
      <c r="Y65" s="1155">
        <v>0</v>
      </c>
      <c r="Z65" s="1155">
        <v>0</v>
      </c>
      <c r="AA65" s="1155">
        <v>0</v>
      </c>
      <c r="AB65" s="1155">
        <v>0</v>
      </c>
      <c r="AC65" s="1155">
        <v>0</v>
      </c>
      <c r="AD65" s="1155">
        <v>0</v>
      </c>
      <c r="AE65" s="1155">
        <v>24</v>
      </c>
      <c r="AF65" s="1155">
        <v>0</v>
      </c>
      <c r="AG65" s="1155">
        <v>0</v>
      </c>
      <c r="AH65" s="1155">
        <v>11</v>
      </c>
      <c r="AI65" s="1155">
        <v>3</v>
      </c>
      <c r="AJ65" s="1155">
        <v>11</v>
      </c>
      <c r="AK65" s="1155">
        <v>0</v>
      </c>
      <c r="AL65" s="1155">
        <v>4</v>
      </c>
      <c r="AM65" s="1155">
        <v>115</v>
      </c>
      <c r="AN65" s="511">
        <v>10</v>
      </c>
      <c r="AO65" s="511">
        <v>10</v>
      </c>
      <c r="AP65" s="511">
        <v>10</v>
      </c>
      <c r="AQ65" s="511">
        <v>10</v>
      </c>
      <c r="AR65" s="511">
        <v>10</v>
      </c>
      <c r="AS65" s="1155">
        <v>23</v>
      </c>
    </row>
  </sheetData>
  <sheetProtection formatColumns="0" formatRows="0" autoFilter="0" sort="0" insertRows="0" insertColumns="1" deleteRows="0" deleteColumns="0"/>
  <mergeCells count="110">
    <mergeCell ref="V2:AC2"/>
    <mergeCell ref="AD2:AL2"/>
    <mergeCell ref="V3:AC3"/>
    <mergeCell ref="AD3:AL3"/>
    <mergeCell ref="V4:AC4"/>
    <mergeCell ref="AD4:AL4"/>
    <mergeCell ref="T62:AM62"/>
    <mergeCell ref="T63:AM63"/>
    <mergeCell ref="T64:AM64"/>
    <mergeCell ref="S34:T34"/>
    <mergeCell ref="V34:AB34"/>
    <mergeCell ref="AD34:AJ34"/>
    <mergeCell ref="S35:T35"/>
    <mergeCell ref="V35:AB35"/>
    <mergeCell ref="AD35:AJ35"/>
    <mergeCell ref="AM49:AM51"/>
    <mergeCell ref="T59:AM59"/>
    <mergeCell ref="T60:AM60"/>
    <mergeCell ref="V47:AC47"/>
    <mergeCell ref="AD47:AL47"/>
    <mergeCell ref="AA42:AB42"/>
    <mergeCell ref="AI42:AJ42"/>
    <mergeCell ref="AD40:AD41"/>
    <mergeCell ref="AE40:AE41"/>
    <mergeCell ref="AI49:AI50"/>
    <mergeCell ref="AJ49:AJ50"/>
    <mergeCell ref="AK49:AK50"/>
    <mergeCell ref="V5:AC5"/>
    <mergeCell ref="AD5:AL5"/>
    <mergeCell ref="V6:AC6"/>
    <mergeCell ref="AD6:AL6"/>
    <mergeCell ref="V7:AC7"/>
    <mergeCell ref="AD7:AL7"/>
    <mergeCell ref="AH40:AJ40"/>
    <mergeCell ref="AA41:AB41"/>
    <mergeCell ref="AI41:AJ41"/>
    <mergeCell ref="AD32:AJ32"/>
    <mergeCell ref="V37:AC37"/>
    <mergeCell ref="AD37:AK37"/>
    <mergeCell ref="S38:AL38"/>
    <mergeCell ref="S32:T32"/>
    <mergeCell ref="V32:AB32"/>
    <mergeCell ref="AD29:AJ29"/>
    <mergeCell ref="S30:T30"/>
    <mergeCell ref="V30:AB30"/>
    <mergeCell ref="AD30:AJ30"/>
    <mergeCell ref="S31:T31"/>
    <mergeCell ref="V31:AB31"/>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J48:J51"/>
    <mergeCell ref="Q48:Q51"/>
    <mergeCell ref="V48:AC48"/>
    <mergeCell ref="AD48:AL48"/>
    <mergeCell ref="K49:K50"/>
    <mergeCell ref="Z49:Z50"/>
    <mergeCell ref="AA49:AA50"/>
    <mergeCell ref="AB49:AB50"/>
    <mergeCell ref="AC49:AC50"/>
    <mergeCell ref="AH49:AH50"/>
    <mergeCell ref="AM38:AM41"/>
    <mergeCell ref="S39:S41"/>
    <mergeCell ref="T39:T41"/>
    <mergeCell ref="V39:AB39"/>
    <mergeCell ref="AC39:AC41"/>
    <mergeCell ref="AD39:AJ39"/>
    <mergeCell ref="AK39:AK41"/>
    <mergeCell ref="AL39:AL41"/>
    <mergeCell ref="V40:V41"/>
    <mergeCell ref="W40:W41"/>
    <mergeCell ref="Z40:AB40"/>
    <mergeCell ref="AD31:AJ31"/>
    <mergeCell ref="AJ8:AJ9"/>
    <mergeCell ref="AK8:AK9"/>
    <mergeCell ref="Z8:Z9"/>
    <mergeCell ref="S26:AJ26"/>
    <mergeCell ref="S27:AJ27"/>
    <mergeCell ref="S29:T29"/>
    <mergeCell ref="V29:AB29"/>
    <mergeCell ref="AM8:AM10"/>
    <mergeCell ref="AH17:AH18"/>
    <mergeCell ref="AI17:AI18"/>
    <mergeCell ref="AJ17:AJ18"/>
    <mergeCell ref="AK17:AK18"/>
    <mergeCell ref="AA8:AA9"/>
    <mergeCell ref="AB8:AB9"/>
    <mergeCell ref="AC8:AC9"/>
    <mergeCell ref="AH8:AH9"/>
    <mergeCell ref="AI8:AI9"/>
    <mergeCell ref="E2:E15"/>
    <mergeCell ref="F3:F14"/>
    <mergeCell ref="G4:G13"/>
    <mergeCell ref="H5:H12"/>
    <mergeCell ref="I6:I11"/>
    <mergeCell ref="P6:P11"/>
    <mergeCell ref="J7:J10"/>
    <mergeCell ref="Q7:Q10"/>
    <mergeCell ref="K8:K9"/>
  </mergeCells>
  <dataValidations count="8">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524337 AK8 AK589873 AK655409 AK17 AK720945 AK786481 AK852017 AK917553 AK983089 AK65585 AK131121 AK458801 AK196657 AK262193 AI49 AI8 AC8 AA8 AI17 AK327729 AK393265 AA49 AC49 AK49"/>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20CDC88-8A49-F546-1061-3C8DA9020D09}" mc:Ignorable="x14ac xr xr2 xr3">
  <sheetPr>
    <tabColor theme="6" tint="0.4"/>
  </sheetPr>
  <dimension ref="A1:AS66"/>
  <sheetViews>
    <sheetView showGridLines="0" zoomScale="90" workbookViewId="0">
      <pane xSplit="29" ySplit="42" topLeftCell="AD43" activePane="bottomRight" state="frozen"/>
      <selection pane="bottomLeft" activeCell="A43" sqref="A43"/>
      <selection pane="topRight" activeCell="AD1" sqref="AD1"/>
      <selection pane="bottomRight" activeCell="A1" sqref="A1"/>
    </sheetView>
  </sheetViews>
  <sheetFormatPr defaultColWidth="10.57421875" customHeight="1" defaultRowHeight="14.25"/>
  <cols>
    <col min="1" max="1" style="1366" width="10.57421875" hidden="1"/>
    <col min="2" max="2" style="1366" width="11.00390625" hidden="1" customWidth="1"/>
    <col min="3" max="3" style="1366" width="10.57421875" hidden="1"/>
    <col min="4" max="4" style="1366" width="11.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2.00390625" hidden="1" customWidth="1"/>
    <col min="10" max="10" style="1366" width="9.8515625" hidden="1" customWidth="1"/>
    <col min="11" max="11" style="1366" width="11.421875" hidden="1" customWidth="1"/>
    <col min="12" max="12" style="2607" width="19.140625" hidden="1" customWidth="1"/>
    <col min="13" max="14" style="1776" width="12.28125" hidden="1" customWidth="1"/>
    <col min="15" max="15" style="1776" width="23.421875" hidden="1" customWidth="1"/>
    <col min="16" max="16" style="2397" width="3.7109375" hidden="1" customWidth="1"/>
    <col min="17" max="18" style="344" width="3.00390625" customWidth="1"/>
    <col min="19" max="19" style="2407" width="12.00390625" customWidth="1"/>
    <col min="20" max="20" style="1635" width="31.00390625" customWidth="1"/>
    <col min="21" max="21" style="1635" width="0.140625" customWidth="1"/>
    <col min="22" max="22" style="1635" width="24.7109375" hidden="1" customWidth="1"/>
    <col min="23" max="23" style="1635" width="0.140625" hidden="1" customWidth="1"/>
    <col min="24" max="25" style="1635" width="24.7109375" hidden="1" customWidth="1"/>
    <col min="26" max="26" style="1635" width="11.7109375" hidden="1" customWidth="1"/>
    <col min="27" max="27" style="1635" width="3.7109375" hidden="1" customWidth="1"/>
    <col min="28" max="28" style="1635" width="11.7109375" hidden="1" customWidth="1"/>
    <col min="29" max="29" style="1635" width="8.57421875" hidden="1" customWidth="1"/>
    <col min="30" max="30" style="1635" width="24.7109375" customWidth="1"/>
    <col min="31" max="31" style="1635" width="0.140625" customWidth="1"/>
    <col min="32" max="33" style="1635" width="24.00390625" customWidth="1"/>
    <col min="34" max="34" style="1635" width="11.00390625" customWidth="1"/>
    <col min="35" max="35" style="1635" width="3.7109375" customWidth="1"/>
    <col min="36" max="36" style="1635" width="11.00390625" customWidth="1"/>
    <col min="37" max="37" style="1635" width="8.57421875" hidden="1" customWidth="1"/>
    <col min="38" max="38" style="1635" width="4.00390625" customWidth="1"/>
    <col min="39" max="39" style="1635" width="115.00390625" customWidth="1"/>
    <col min="40" max="44" style="1642" width="10.00390625" customWidth="1"/>
    <col min="45" max="45" style="1635" width="8.421875" hidden="1" customWidth="1"/>
  </cols>
  <sheetData>
    <row customHeight="1" ht="22.5" hidden="1">
      <c r="Y1" s="327"/>
      <c r="Z1" s="327"/>
      <c r="AG1" s="327"/>
      <c r="AH1" s="327"/>
      <c r="AS1" s="1155" t="s">
        <v>14</v>
      </c>
    </row>
    <row customHeight="1" ht="21" hidden="1">
      <c r="A2" s="1363"/>
      <c r="B2" s="1363"/>
      <c r="C2" s="1363"/>
      <c r="D2" s="1363"/>
      <c r="E2" s="2258">
        <v>1</v>
      </c>
      <c r="F2" s="1363"/>
      <c r="G2" s="1363"/>
      <c r="H2" s="1363"/>
      <c r="I2" s="1363"/>
      <c r="J2" s="1363"/>
      <c r="K2" s="1363"/>
      <c r="L2" s="1364"/>
      <c r="M2" s="1365"/>
      <c r="N2" s="1365"/>
      <c r="O2" s="1365"/>
      <c r="P2" s="361"/>
      <c r="Q2" s="360"/>
      <c r="R2" s="355"/>
      <c r="S2" s="1336">
        <f>INDEX(PT_DIFFERENTIATION_NUM_NTAR,MATCH(A2,PT_DIFFERENTIATION_NTAR_ID,0))</f>
      </c>
      <c r="T2" s="298" t="s">
        <v>127</v>
      </c>
      <c r="U2" s="300"/>
      <c r="V2" s="2242"/>
      <c r="W2" s="2243"/>
      <c r="X2" s="2243"/>
      <c r="Y2" s="2243"/>
      <c r="Z2" s="2243"/>
      <c r="AA2" s="2243"/>
      <c r="AB2" s="2243"/>
      <c r="AC2" s="2244"/>
      <c r="AD2" s="2242">
        <f>INDEX(PT_DIFFERENTIATION_NTAR,MATCH(A2,PT_DIFFERENTIATION_NTAR_ID,0))</f>
      </c>
      <c r="AE2" s="2243"/>
      <c r="AF2" s="2243"/>
      <c r="AG2" s="2243"/>
      <c r="AH2" s="2243"/>
      <c r="AI2" s="2243"/>
      <c r="AJ2" s="2243"/>
      <c r="AK2" s="2243"/>
      <c r="AL2" s="2244"/>
      <c r="AM2" s="1258" t="s">
        <v>398</v>
      </c>
      <c r="AO2" s="500"/>
      <c r="AP2" s="500" t="str">
        <f>IF(T2="","",T2)</f>
        <v>Наименование тарифа</v>
      </c>
      <c r="AQ2" s="500"/>
      <c r="AR2" s="500"/>
      <c r="AS2" s="1155">
        <v>0</v>
      </c>
    </row>
    <row customHeight="1" ht="21" hidden="1">
      <c r="A3" s="1363"/>
      <c r="B3" s="1363"/>
      <c r="C3" s="1363"/>
      <c r="D3" s="1363"/>
      <c r="E3" s="2259"/>
      <c r="F3" s="2258">
        <v>1</v>
      </c>
      <c r="G3" s="1363"/>
      <c r="H3" s="1363"/>
      <c r="I3" s="1363"/>
      <c r="J3" s="1363"/>
      <c r="K3" s="1363"/>
      <c r="L3" s="1364"/>
      <c r="M3" s="1365"/>
      <c r="N3" s="1365"/>
      <c r="O3" s="1365"/>
      <c r="P3" s="1332"/>
      <c r="Q3" s="352"/>
      <c r="R3" s="353"/>
      <c r="S3" s="1336">
        <f>INDEX(PT_DIFFERENTIATION_NUM_TER,MATCH(B3,PT_DIFFERENTIATION_TER_ID,0))</f>
      </c>
      <c r="T3" s="308" t="s">
        <v>399</v>
      </c>
      <c r="U3" s="300"/>
      <c r="V3" s="2242"/>
      <c r="W3" s="2243"/>
      <c r="X3" s="2243"/>
      <c r="Y3" s="2243"/>
      <c r="Z3" s="2243"/>
      <c r="AA3" s="2243"/>
      <c r="AB3" s="2243"/>
      <c r="AC3" s="2244"/>
      <c r="AD3" s="2242">
        <f>INDEX(PT_DIFFERENTIATION_TER,MATCH(B3,PT_DIFFERENTIATION_TER_ID,0))</f>
      </c>
      <c r="AE3" s="2243"/>
      <c r="AF3" s="2243"/>
      <c r="AG3" s="2243"/>
      <c r="AH3" s="2243"/>
      <c r="AI3" s="2243"/>
      <c r="AJ3" s="2243"/>
      <c r="AK3" s="2243"/>
      <c r="AL3" s="2244"/>
      <c r="AM3" s="1258" t="s">
        <v>400</v>
      </c>
      <c r="AO3" s="500"/>
      <c r="AP3" s="500" t="str">
        <f>IF(T3="","",T3)</f>
        <v>Территория действия тарифа</v>
      </c>
      <c r="AQ3" s="500"/>
      <c r="AR3" s="500"/>
      <c r="AS3" s="1155">
        <v>0</v>
      </c>
    </row>
    <row customHeight="1" ht="23.25" hidden="1">
      <c r="A4" s="1363"/>
      <c r="B4" s="1363"/>
      <c r="C4" s="1363"/>
      <c r="D4" s="1363"/>
      <c r="E4" s="2259"/>
      <c r="F4" s="2259"/>
      <c r="G4" s="2258">
        <v>1</v>
      </c>
      <c r="H4" s="1363"/>
      <c r="I4" s="1363"/>
      <c r="J4" s="1363"/>
      <c r="K4" s="1363"/>
      <c r="L4" s="1364"/>
      <c r="M4" s="1365"/>
      <c r="N4" s="1365"/>
      <c r="O4" s="1365"/>
      <c r="P4" s="354"/>
      <c r="Q4" s="352"/>
      <c r="R4" s="353"/>
      <c r="S4" s="1336">
        <f>INDEX(PT_DIFFERENTIATION_NUM_CS,MATCH(C4,PT_DIFFERENTIATION_CS_ID,0))</f>
      </c>
      <c r="T4" s="309" t="s">
        <v>401</v>
      </c>
      <c r="U4" s="300"/>
      <c r="V4" s="2242"/>
      <c r="W4" s="2243"/>
      <c r="X4" s="2243"/>
      <c r="Y4" s="2243"/>
      <c r="Z4" s="2243"/>
      <c r="AA4" s="2243"/>
      <c r="AB4" s="2243"/>
      <c r="AC4" s="2244"/>
      <c r="AD4" s="2242">
        <f>INDEX(PT_DIFFERENTIATION_CS,MATCH(C4,PT_DIFFERENTIATION_CS_ID,0))</f>
      </c>
      <c r="AE4" s="2243"/>
      <c r="AF4" s="2243"/>
      <c r="AG4" s="2243"/>
      <c r="AH4" s="2243"/>
      <c r="AI4" s="2243"/>
      <c r="AJ4" s="2243"/>
      <c r="AK4" s="2243"/>
      <c r="AL4" s="2244"/>
      <c r="AM4" s="1258" t="s">
        <v>402</v>
      </c>
      <c r="AO4" s="500"/>
      <c r="AP4" s="500" t="str">
        <f>IF(T4="","",T4)</f>
        <v>Наименование системы теплоснабжения </v>
      </c>
      <c r="AQ4" s="500"/>
      <c r="AR4" s="500"/>
      <c r="AS4" s="1155">
        <v>0</v>
      </c>
    </row>
    <row customHeight="1" ht="21" hidden="1">
      <c r="A5" s="1363"/>
      <c r="B5" s="1363"/>
      <c r="C5" s="1363"/>
      <c r="D5" s="1363"/>
      <c r="E5" s="2259"/>
      <c r="F5" s="2259"/>
      <c r="G5" s="2259"/>
      <c r="H5" s="2258">
        <v>1</v>
      </c>
      <c r="I5" s="1363"/>
      <c r="J5" s="1363"/>
      <c r="K5" s="1363"/>
      <c r="L5" s="1364"/>
      <c r="M5" s="1365"/>
      <c r="N5" s="1365"/>
      <c r="O5" s="1365"/>
      <c r="P5" s="354"/>
      <c r="Q5" s="352"/>
      <c r="R5" s="353"/>
      <c r="S5" s="1336">
        <f>INDEX(PT_DIFFERENTIATION_NUM_IST_TE,MATCH(D5,PT_DIFFERENTIATION_IST_TE_ID,0))</f>
      </c>
      <c r="T5" s="310" t="s">
        <v>403</v>
      </c>
      <c r="U5" s="300"/>
      <c r="V5" s="2242"/>
      <c r="W5" s="2243"/>
      <c r="X5" s="2243"/>
      <c r="Y5" s="2243"/>
      <c r="Z5" s="2243"/>
      <c r="AA5" s="2243"/>
      <c r="AB5" s="2243"/>
      <c r="AC5" s="2244"/>
      <c r="AD5" s="2242">
        <f>INDEX(PT_DIFFERENTIATION_IST_TE,MATCH(D5,PT_DIFFERENTIATION_IST_TE_ID,0))</f>
      </c>
      <c r="AE5" s="2243"/>
      <c r="AF5" s="2243"/>
      <c r="AG5" s="2243"/>
      <c r="AH5" s="2243"/>
      <c r="AI5" s="2243"/>
      <c r="AJ5" s="2243"/>
      <c r="AK5" s="2243"/>
      <c r="AL5" s="2244"/>
      <c r="AM5" s="1258" t="s">
        <v>404</v>
      </c>
      <c r="AO5" s="500"/>
      <c r="AP5" s="500" t="str">
        <f>IF(T5="","",T5)</f>
        <v>Источник тепловой энергии  </v>
      </c>
      <c r="AQ5" s="500"/>
      <c r="AR5" s="500"/>
      <c r="AS5" s="1155">
        <v>0</v>
      </c>
    </row>
    <row customHeight="1" ht="14.25" hidden="1">
      <c r="A6" s="1363"/>
      <c r="B6" s="1363"/>
      <c r="C6" s="1363"/>
      <c r="D6" s="1363"/>
      <c r="E6" s="2259"/>
      <c r="F6" s="2259"/>
      <c r="G6" s="2259"/>
      <c r="H6" s="2259"/>
      <c r="I6" s="2256">
        <f>S5&amp;".1"</f>
      </c>
      <c r="J6" s="1363"/>
      <c r="K6" s="1363"/>
      <c r="L6" s="1364" t="s">
        <v>405</v>
      </c>
      <c r="M6" s="537"/>
      <c r="P6" s="2257">
        <v>1</v>
      </c>
      <c r="Q6" s="1331"/>
      <c r="R6" s="356"/>
      <c r="S6" s="1042"/>
      <c r="T6" s="1383"/>
      <c r="U6" s="1384"/>
      <c r="V6" s="2296"/>
      <c r="W6" s="2297"/>
      <c r="X6" s="2297"/>
      <c r="Y6" s="2297"/>
      <c r="Z6" s="2297"/>
      <c r="AA6" s="2297"/>
      <c r="AB6" s="2297"/>
      <c r="AC6" s="2298"/>
      <c r="AD6" s="2296"/>
      <c r="AE6" s="2297"/>
      <c r="AF6" s="2297"/>
      <c r="AG6" s="2297"/>
      <c r="AH6" s="2297"/>
      <c r="AI6" s="2297"/>
      <c r="AJ6" s="2297"/>
      <c r="AK6" s="2297"/>
      <c r="AL6" s="2298"/>
      <c r="AM6" s="1385"/>
      <c r="AO6" s="500"/>
      <c r="AP6" s="500" t="str">
        <f>IF(T6="","",T6)</f>
        <v/>
      </c>
      <c r="AQ6" s="500"/>
      <c r="AR6" s="500"/>
      <c r="AS6" s="1155">
        <v>0</v>
      </c>
    </row>
    <row customHeight="1" ht="21" hidden="1">
      <c r="A7" s="1363"/>
      <c r="B7" s="1363"/>
      <c r="C7" s="1363"/>
      <c r="D7" s="1363"/>
      <c r="E7" s="2259"/>
      <c r="F7" s="2259"/>
      <c r="G7" s="2259"/>
      <c r="H7" s="2259"/>
      <c r="I7" s="2286"/>
      <c r="J7" s="2256">
        <f>I6&amp;".1"</f>
      </c>
      <c r="K7" s="1363"/>
      <c r="L7" s="1364" t="s">
        <v>408</v>
      </c>
      <c r="M7" s="537"/>
      <c r="N7" s="1366"/>
      <c r="P7" s="2257"/>
      <c r="Q7" s="2257">
        <v>1</v>
      </c>
      <c r="R7" s="357"/>
      <c r="S7" s="1336">
        <f>$J7</f>
      </c>
      <c r="T7" s="286" t="s">
        <v>409</v>
      </c>
      <c r="U7" s="300"/>
      <c r="V7" s="2245"/>
      <c r="W7" s="2246"/>
      <c r="X7" s="2246"/>
      <c r="Y7" s="2246"/>
      <c r="Z7" s="2246"/>
      <c r="AA7" s="2246"/>
      <c r="AB7" s="2246"/>
      <c r="AC7" s="2247"/>
      <c r="AD7" s="2245"/>
      <c r="AE7" s="2246"/>
      <c r="AF7" s="2246"/>
      <c r="AG7" s="2246"/>
      <c r="AH7" s="2246"/>
      <c r="AI7" s="2246"/>
      <c r="AJ7" s="2246"/>
      <c r="AK7" s="2246"/>
      <c r="AL7" s="2247"/>
      <c r="AM7" s="1258" t="s">
        <v>410</v>
      </c>
      <c r="AO7" s="500"/>
      <c r="AP7" s="500" t="str">
        <f>IF(T7="","",T7)</f>
        <v>Группа потребителей</v>
      </c>
      <c r="AQ7" s="500"/>
      <c r="AR7" s="500"/>
      <c r="AS7" s="1155">
        <v>0</v>
      </c>
    </row>
    <row customHeight="1" ht="21" hidden="1">
      <c r="A8" s="1363"/>
      <c r="B8" s="1363"/>
      <c r="C8" s="1363"/>
      <c r="D8" s="1363"/>
      <c r="E8" s="2259"/>
      <c r="F8" s="2259"/>
      <c r="G8" s="2259"/>
      <c r="H8" s="2259"/>
      <c r="I8" s="2286"/>
      <c r="J8" s="2286"/>
      <c r="K8" s="2256">
        <f>J7&amp;".1"</f>
      </c>
      <c r="L8" s="1364" t="s">
        <v>411</v>
      </c>
      <c r="M8" s="537"/>
      <c r="N8" s="1366"/>
      <c r="O8" s="1366"/>
      <c r="P8" s="2257"/>
      <c r="Q8" s="2257"/>
      <c r="R8" s="357">
        <v>1</v>
      </c>
      <c r="S8" s="1336">
        <f>$K8</f>
      </c>
      <c r="T8" s="1347"/>
      <c r="U8" s="300"/>
      <c r="V8" s="751"/>
      <c r="W8" s="325"/>
      <c r="X8" s="751"/>
      <c r="Y8" s="1257"/>
      <c r="Z8" s="2265"/>
      <c r="AA8" s="2107" t="s">
        <v>66</v>
      </c>
      <c r="AB8" s="2265"/>
      <c r="AC8" s="2107" t="s">
        <v>66</v>
      </c>
      <c r="AD8" s="751"/>
      <c r="AE8" s="325"/>
      <c r="AF8" s="751"/>
      <c r="AG8" s="1257"/>
      <c r="AH8" s="2265"/>
      <c r="AI8" s="2107" t="s">
        <v>66</v>
      </c>
      <c r="AJ8" s="2265"/>
      <c r="AK8" s="2107" t="s">
        <v>66</v>
      </c>
      <c r="AL8" s="325"/>
      <c r="AM8" s="2253" t="s">
        <v>412</v>
      </c>
      <c r="AN8" s="511">
        <f>STRCHECKDATE(V9:AL9)</f>
      </c>
      <c r="AO8" s="500"/>
      <c r="AP8" s="500" t="str">
        <f>IF(T8="","",T8)</f>
        <v/>
      </c>
      <c r="AQ8" s="500"/>
      <c r="AR8" s="500"/>
      <c r="AS8" s="1155">
        <v>0</v>
      </c>
    </row>
    <row customHeight="1" ht="0.75" hidden="1">
      <c r="A9" s="1363"/>
      <c r="B9" s="1363"/>
      <c r="C9" s="1363"/>
      <c r="D9" s="1363"/>
      <c r="E9" s="2259"/>
      <c r="F9" s="2259"/>
      <c r="G9" s="2259"/>
      <c r="H9" s="2259"/>
      <c r="I9" s="2286"/>
      <c r="J9" s="2286"/>
      <c r="K9" s="2256"/>
      <c r="L9" s="1364"/>
      <c r="M9" s="537"/>
      <c r="N9" s="1366"/>
      <c r="O9" s="1366"/>
      <c r="P9" s="2257"/>
      <c r="Q9" s="2257"/>
      <c r="R9" s="357"/>
      <c r="S9" s="1342"/>
      <c r="T9" s="300"/>
      <c r="U9" s="300"/>
      <c r="V9" s="325"/>
      <c r="W9" s="325"/>
      <c r="X9" s="325"/>
      <c r="Y9" s="328" t="str">
        <f>Z8&amp;"-"&amp;AB8</f>
        <v>-</v>
      </c>
      <c r="Z9" s="2266"/>
      <c r="AA9" s="2107"/>
      <c r="AB9" s="2266"/>
      <c r="AC9" s="2107"/>
      <c r="AD9" s="325"/>
      <c r="AE9" s="325"/>
      <c r="AF9" s="325"/>
      <c r="AG9" s="328" t="str">
        <f>AH8&amp;"-"&amp;AJ8</f>
        <v>-</v>
      </c>
      <c r="AH9" s="2266"/>
      <c r="AI9" s="2107"/>
      <c r="AJ9" s="2266"/>
      <c r="AK9" s="2107"/>
      <c r="AL9" s="325"/>
      <c r="AM9" s="2254"/>
      <c r="AO9" s="500"/>
      <c r="AP9" s="500" t="str">
        <f>IF(T9="","",T9)</f>
        <v/>
      </c>
      <c r="AQ9" s="500"/>
      <c r="AR9" s="500"/>
      <c r="AS9" s="1155">
        <v>0</v>
      </c>
    </row>
    <row customHeight="1" ht="15" hidden="1">
      <c r="A10" s="1363"/>
      <c r="B10" s="1363"/>
      <c r="C10" s="1363"/>
      <c r="D10" s="1363"/>
      <c r="E10" s="2259"/>
      <c r="F10" s="2259"/>
      <c r="G10" s="2259"/>
      <c r="H10" s="2259"/>
      <c r="I10" s="2286"/>
      <c r="J10" s="2256"/>
      <c r="K10" s="1363"/>
      <c r="L10" s="1364"/>
      <c r="M10" s="537"/>
      <c r="N10" s="1366"/>
      <c r="P10" s="2257"/>
      <c r="Q10" s="2257"/>
      <c r="R10" s="356"/>
      <c r="S10" s="1278"/>
      <c r="T10" s="287" t="s">
        <v>413</v>
      </c>
      <c r="U10" s="367"/>
      <c r="V10" s="367"/>
      <c r="W10" s="367"/>
      <c r="X10" s="367"/>
      <c r="Y10" s="367"/>
      <c r="Z10" s="367"/>
      <c r="AA10" s="367"/>
      <c r="AB10" s="367"/>
      <c r="AC10" s="367"/>
      <c r="AD10" s="367"/>
      <c r="AE10" s="367"/>
      <c r="AF10" s="367"/>
      <c r="AG10" s="367"/>
      <c r="AH10" s="367"/>
      <c r="AI10" s="367"/>
      <c r="AJ10" s="367"/>
      <c r="AK10" s="367"/>
      <c r="AL10" s="324"/>
      <c r="AM10" s="2255"/>
      <c r="AO10" s="500"/>
      <c r="AP10" s="500" t="str">
        <f>IF(T10="","",T10)</f>
        <v>Добавить вид теплоносителя (параметры теплоносителя)</v>
      </c>
      <c r="AQ10" s="500"/>
      <c r="AR10" s="500"/>
      <c r="AS10" s="1155">
        <v>0</v>
      </c>
    </row>
    <row customHeight="1" ht="15" hidden="1">
      <c r="A11" s="1363"/>
      <c r="B11" s="1363"/>
      <c r="C11" s="1363"/>
      <c r="D11" s="1363"/>
      <c r="E11" s="2259"/>
      <c r="F11" s="2259"/>
      <c r="G11" s="2259"/>
      <c r="H11" s="2259"/>
      <c r="I11" s="2256"/>
      <c r="J11" s="1363"/>
      <c r="K11" s="1363"/>
      <c r="L11" s="1364"/>
      <c r="M11" s="537"/>
      <c r="P11" s="2257"/>
      <c r="Q11" s="1331"/>
      <c r="R11" s="356"/>
      <c r="S11" s="1278"/>
      <c r="T11" s="365" t="s">
        <v>414</v>
      </c>
      <c r="U11" s="367"/>
      <c r="V11" s="367"/>
      <c r="W11" s="367"/>
      <c r="X11" s="367"/>
      <c r="Y11" s="367"/>
      <c r="Z11" s="367"/>
      <c r="AA11" s="367"/>
      <c r="AB11" s="367"/>
      <c r="AC11" s="366"/>
      <c r="AD11" s="367"/>
      <c r="AE11" s="367"/>
      <c r="AF11" s="367"/>
      <c r="AG11" s="367"/>
      <c r="AH11" s="367"/>
      <c r="AI11" s="367"/>
      <c r="AJ11" s="367"/>
      <c r="AK11" s="366"/>
      <c r="AL11" s="367"/>
      <c r="AM11" s="303"/>
      <c r="AO11" s="500"/>
      <c r="AP11" s="500" t="str">
        <f>IF(T11="","",T11)</f>
        <v>Добавить группу потребителей</v>
      </c>
      <c r="AQ11" s="500"/>
      <c r="AR11" s="500"/>
      <c r="AS11" s="1155">
        <v>0</v>
      </c>
    </row>
    <row customHeight="1" ht="14.25" hidden="1">
      <c r="A12" s="1363"/>
      <c r="B12" s="1363"/>
      <c r="C12" s="1363"/>
      <c r="D12" s="1363"/>
      <c r="E12" s="2259"/>
      <c r="F12" s="2259"/>
      <c r="G12" s="2259"/>
      <c r="H12" s="2258"/>
      <c r="I12" s="1363"/>
      <c r="J12" s="1363"/>
      <c r="K12" s="1363"/>
      <c r="L12" s="1364"/>
      <c r="M12" s="1365"/>
      <c r="N12" s="1365"/>
      <c r="O12" s="537"/>
      <c r="P12" s="360"/>
      <c r="Q12" s="375"/>
      <c r="R12" s="355"/>
      <c r="S12" s="1386"/>
      <c r="T12" s="1387"/>
      <c r="U12" s="1388"/>
      <c r="V12" s="1388"/>
      <c r="W12" s="1388"/>
      <c r="X12" s="1388"/>
      <c r="Y12" s="1388"/>
      <c r="Z12" s="1388"/>
      <c r="AA12" s="1388"/>
      <c r="AB12" s="1388"/>
      <c r="AC12" s="1388"/>
      <c r="AD12" s="1388"/>
      <c r="AE12" s="1388"/>
      <c r="AF12" s="1388"/>
      <c r="AG12" s="1388"/>
      <c r="AH12" s="1388"/>
      <c r="AI12" s="1388"/>
      <c r="AJ12" s="1388"/>
      <c r="AK12" s="1388"/>
      <c r="AL12" s="1388"/>
      <c r="AM12" s="1389"/>
      <c r="AO12" s="500"/>
      <c r="AP12" s="500" t="str">
        <f>IF(T12="","",T12)</f>
        <v/>
      </c>
      <c r="AQ12" s="500"/>
      <c r="AR12" s="500"/>
      <c r="AS12" s="1155">
        <v>0</v>
      </c>
    </row>
    <row s="1642" customFormat="1" customHeight="1" ht="0.75" hidden="1">
      <c r="A13" s="1314"/>
      <c r="B13" s="1314"/>
      <c r="C13" s="1314"/>
      <c r="D13" s="1314"/>
      <c r="E13" s="2259"/>
      <c r="F13" s="2259"/>
      <c r="G13" s="2258"/>
      <c r="H13" s="1314"/>
      <c r="I13" s="1314"/>
      <c r="J13" s="1314"/>
      <c r="K13" s="1314"/>
      <c r="L13" s="1339"/>
      <c r="M13" s="1315"/>
      <c r="N13" s="1315"/>
      <c r="P13" s="1316"/>
      <c r="Q13" s="1317"/>
      <c r="R13" s="1316"/>
      <c r="S13" s="1318"/>
      <c r="T13" s="1319" t="s">
        <v>416</v>
      </c>
      <c r="U13" s="1320"/>
      <c r="V13" s="1320"/>
      <c r="W13" s="1320"/>
      <c r="X13" s="1320"/>
      <c r="Y13" s="1320"/>
      <c r="Z13" s="1320"/>
      <c r="AA13" s="1320"/>
      <c r="AB13" s="1320"/>
      <c r="AC13" s="1320"/>
      <c r="AD13" s="1320"/>
      <c r="AE13" s="1320"/>
      <c r="AF13" s="1320"/>
      <c r="AG13" s="1320"/>
      <c r="AH13" s="1320"/>
      <c r="AI13" s="1320"/>
      <c r="AJ13" s="1320"/>
      <c r="AK13" s="1320"/>
      <c r="AL13" s="1320"/>
      <c r="AM13" s="1320"/>
      <c r="AO13" s="789"/>
      <c r="AP13" s="789" t="str">
        <f>IF(T13="","",T13)</f>
        <v>Добавить источник для дифференциации</v>
      </c>
      <c r="AQ13" s="789"/>
      <c r="AR13" s="789"/>
      <c r="AS13" s="518">
        <v>0</v>
      </c>
    </row>
    <row s="1642" customFormat="1" customHeight="1" ht="0.75" hidden="1">
      <c r="A14" s="1314"/>
      <c r="B14" s="1314"/>
      <c r="C14" s="1314"/>
      <c r="D14" s="1314"/>
      <c r="E14" s="2259"/>
      <c r="F14" s="2258"/>
      <c r="G14" s="1314"/>
      <c r="H14" s="1314"/>
      <c r="I14" s="1314"/>
      <c r="J14" s="1314"/>
      <c r="K14" s="1314"/>
      <c r="L14" s="1339"/>
      <c r="M14" s="1321"/>
      <c r="N14" s="1321"/>
      <c r="P14" s="1316"/>
      <c r="Q14" s="1317"/>
      <c r="R14" s="1316"/>
      <c r="S14" s="1322"/>
      <c r="T14" s="1323" t="s">
        <v>417</v>
      </c>
      <c r="U14" s="1324"/>
      <c r="V14" s="1324"/>
      <c r="W14" s="1324"/>
      <c r="X14" s="1324"/>
      <c r="Y14" s="1324"/>
      <c r="Z14" s="1324"/>
      <c r="AA14" s="1324"/>
      <c r="AB14" s="1324"/>
      <c r="AC14" s="1324"/>
      <c r="AD14" s="1324"/>
      <c r="AE14" s="1324"/>
      <c r="AF14" s="1324"/>
      <c r="AG14" s="1324"/>
      <c r="AH14" s="1324"/>
      <c r="AI14" s="1324"/>
      <c r="AJ14" s="1324"/>
      <c r="AK14" s="1324"/>
      <c r="AL14" s="1324"/>
      <c r="AM14" s="1324"/>
      <c r="AO14" s="789"/>
      <c r="AP14" s="789" t="str">
        <f>IF(T14="","",T14)</f>
        <v>Добавить централизованную систему для дифференциации</v>
      </c>
      <c r="AQ14" s="789"/>
      <c r="AR14" s="789"/>
      <c r="AS14" s="518">
        <v>0</v>
      </c>
    </row>
    <row s="1642" customFormat="1" customHeight="1" ht="0.75" hidden="1">
      <c r="A15" s="1314"/>
      <c r="B15" s="1314"/>
      <c r="C15" s="1314"/>
      <c r="D15" s="1314"/>
      <c r="E15" s="2258"/>
      <c r="F15" s="1314"/>
      <c r="G15" s="1314"/>
      <c r="H15" s="1314"/>
      <c r="I15" s="1314"/>
      <c r="J15" s="1314"/>
      <c r="K15" s="1314"/>
      <c r="L15" s="1339"/>
      <c r="M15" s="1321"/>
      <c r="N15" s="1321"/>
      <c r="P15" s="1316"/>
      <c r="Q15" s="1317"/>
      <c r="R15" s="1316"/>
      <c r="S15" s="1322"/>
      <c r="T15" s="1325" t="s">
        <v>418</v>
      </c>
      <c r="U15" s="1324"/>
      <c r="V15" s="1324"/>
      <c r="W15" s="1324"/>
      <c r="X15" s="1324"/>
      <c r="Y15" s="1324"/>
      <c r="Z15" s="1324"/>
      <c r="AA15" s="1324"/>
      <c r="AB15" s="1324"/>
      <c r="AC15" s="1324"/>
      <c r="AD15" s="1324"/>
      <c r="AE15" s="1324"/>
      <c r="AF15" s="1324"/>
      <c r="AG15" s="1324"/>
      <c r="AH15" s="1324"/>
      <c r="AI15" s="1324"/>
      <c r="AJ15" s="1324"/>
      <c r="AK15" s="1324"/>
      <c r="AL15" s="1324"/>
      <c r="AM15" s="1324"/>
      <c r="AO15" s="789"/>
      <c r="AP15" s="789" t="str">
        <f>IF(T15="","",T15)</f>
        <v>Добавить территорию для дифференциации</v>
      </c>
      <c r="AQ15" s="789"/>
      <c r="AR15" s="789"/>
      <c r="AS15" s="518">
        <v>0</v>
      </c>
    </row>
    <row customHeight="1" ht="14.25" hidden="1">
      <c r="AC16" s="327"/>
      <c r="AK16" s="327"/>
      <c r="AS16" s="1155">
        <v>0</v>
      </c>
    </row>
    <row customHeight="1" ht="14.25" hidden="1">
      <c r="AD17" s="1360"/>
      <c r="AE17" s="1360"/>
      <c r="AF17" s="1360"/>
      <c r="AG17" s="1361"/>
      <c r="AH17" s="2267"/>
      <c r="AI17" s="2268" t="s">
        <v>66</v>
      </c>
      <c r="AJ17" s="2267"/>
      <c r="AK17" s="2268" t="s">
        <v>66</v>
      </c>
      <c r="AS17" s="1155">
        <v>0</v>
      </c>
    </row>
    <row customHeight="1" ht="14.25" hidden="1">
      <c r="AD18" s="1360"/>
      <c r="AE18" s="1360"/>
      <c r="AF18" s="1360"/>
      <c r="AG18" s="328" t="str">
        <f>AH17&amp;"-"&amp;AJ17</f>
        <v>-</v>
      </c>
      <c r="AH18" s="2268"/>
      <c r="AI18" s="2268"/>
      <c r="AJ18" s="2268"/>
      <c r="AK18" s="2268"/>
      <c r="AS18" s="1155">
        <v>0</v>
      </c>
    </row>
    <row customHeight="1" ht="14.25" hidden="1">
      <c r="AK19" s="327"/>
      <c r="AS19" s="1155">
        <v>0</v>
      </c>
    </row>
    <row s="1366" customFormat="1" customHeight="1" ht="22.5" hidden="1">
      <c r="L20" s="1329"/>
      <c r="M20" s="1362"/>
      <c r="N20" s="1362"/>
      <c r="O20" s="1367" t="s">
        <v>419</v>
      </c>
      <c r="P20" s="1362"/>
      <c r="Q20" s="1371"/>
      <c r="R20" s="1371"/>
      <c r="S20" s="729"/>
      <c r="Z20" s="1367"/>
      <c r="AB20" s="1367"/>
      <c r="AC20" s="1366"/>
      <c r="AH20" s="1367"/>
      <c r="AJ20" s="1367"/>
      <c r="AK20" s="1366"/>
      <c r="AN20" s="511"/>
      <c r="AO20" s="511"/>
      <c r="AP20" s="511"/>
      <c r="AQ20" s="511"/>
      <c r="AR20" s="511"/>
      <c r="AS20" s="1160">
        <v>0</v>
      </c>
    </row>
    <row s="1366" customFormat="1" customHeight="1" ht="14.25" hidden="1">
      <c r="L21" s="1329"/>
      <c r="M21" s="1362"/>
      <c r="N21" s="1362"/>
      <c r="O21" s="1362"/>
      <c r="P21" s="1362"/>
      <c r="Q21" s="1371"/>
      <c r="R21" s="1371"/>
      <c r="S21" s="729"/>
      <c r="AC21" s="1366"/>
      <c r="AK21" s="1366"/>
      <c r="AN21" s="511"/>
      <c r="AO21" s="511"/>
      <c r="AP21" s="511"/>
      <c r="AQ21" s="511"/>
      <c r="AR21" s="511"/>
      <c r="AS21" s="1160">
        <v>0</v>
      </c>
    </row>
    <row s="1366" customFormat="1" customHeight="1" ht="14.25" hidden="1">
      <c r="L22" s="1329"/>
      <c r="M22" s="1362"/>
      <c r="N22" s="1362"/>
      <c r="O22" s="1364" t="s">
        <v>420</v>
      </c>
      <c r="P22" s="1362"/>
      <c r="Q22" s="1371"/>
      <c r="R22" s="1371"/>
      <c r="S22" s="729"/>
      <c r="T22" s="1160" t="s">
        <v>421</v>
      </c>
      <c r="AA22" s="186" t="s">
        <v>422</v>
      </c>
      <c r="AC22" s="186" t="s">
        <v>423</v>
      </c>
      <c r="AD22" s="1160" t="s">
        <v>421</v>
      </c>
      <c r="AI22" s="186" t="s">
        <v>424</v>
      </c>
      <c r="AK22" s="186" t="s">
        <v>423</v>
      </c>
      <c r="AN22" s="511"/>
      <c r="AO22" s="511"/>
      <c r="AP22" s="511"/>
      <c r="AQ22" s="511"/>
      <c r="AR22" s="511"/>
      <c r="AS22" s="1160">
        <v>0</v>
      </c>
    </row>
    <row customHeight="1" ht="14.25" hidden="1">
      <c r="O23" s="1364"/>
      <c r="AS23" s="1155">
        <v>0</v>
      </c>
    </row>
    <row customHeight="1" ht="14.25" hidden="1">
      <c r="O24" s="1364"/>
      <c r="AS24" s="1155">
        <v>0</v>
      </c>
    </row>
    <row customHeight="1" ht="14.699999999999998">
      <c r="Q25" s="376"/>
      <c r="R25" s="376"/>
      <c r="S25" s="1275"/>
      <c r="T25" s="363"/>
      <c r="U25" s="363"/>
      <c r="V25" s="509"/>
      <c r="W25" s="509"/>
      <c r="X25" s="509"/>
      <c r="Y25" s="509"/>
      <c r="Z25" s="509"/>
      <c r="AA25" s="509"/>
      <c r="AB25" s="509"/>
      <c r="AC25" s="509"/>
      <c r="AD25" s="509"/>
      <c r="AE25" s="509"/>
      <c r="AF25" s="509"/>
      <c r="AG25" s="509"/>
      <c r="AH25" s="509"/>
      <c r="AI25" s="509"/>
      <c r="AJ25" s="509"/>
      <c r="AK25" s="509"/>
      <c r="AS25" s="1155">
        <v>14</v>
      </c>
    </row>
    <row customHeight="1" ht="63">
      <c r="Q26" s="376"/>
      <c r="R26" s="376"/>
      <c r="S26" s="2248" t="str">
        <f>IF(TEMPLATE_GROUP="P",PT_P_FORM_HEAT_5_NAME_FORM,PT_R_FORM_HEAT_22_NAME_FORM)</f>
        <v>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v>
      </c>
      <c r="T26" s="2248"/>
      <c r="U26" s="2248"/>
      <c r="V26" s="2248"/>
      <c r="W26" s="2248"/>
      <c r="X26" s="2248"/>
      <c r="Y26" s="2248"/>
      <c r="Z26" s="2248"/>
      <c r="AA26" s="2248"/>
      <c r="AB26" s="2248"/>
      <c r="AC26" s="2248"/>
      <c r="AD26" s="2248"/>
      <c r="AE26" s="2248"/>
      <c r="AF26" s="2248"/>
      <c r="AG26" s="2248"/>
      <c r="AH26" s="2248"/>
      <c r="AI26" s="2248"/>
      <c r="AJ26" s="2248"/>
      <c r="AK26" s="1243"/>
      <c r="AS26" s="1155">
        <v>60</v>
      </c>
    </row>
    <row customHeight="1" ht="14.699999999999998">
      <c r="Q27" s="376"/>
      <c r="R27" s="376"/>
      <c r="S27" s="2249" t="str">
        <f>IF(org=0,"Не определено",org)</f>
        <v>ПАО "ОГК-2"</v>
      </c>
      <c r="T27" s="2249"/>
      <c r="U27" s="2249"/>
      <c r="V27" s="2249"/>
      <c r="W27" s="2249"/>
      <c r="X27" s="2249"/>
      <c r="Y27" s="2249"/>
      <c r="Z27" s="2249"/>
      <c r="AA27" s="2249"/>
      <c r="AB27" s="2249"/>
      <c r="AC27" s="2249"/>
      <c r="AD27" s="2249"/>
      <c r="AE27" s="2249"/>
      <c r="AF27" s="2249"/>
      <c r="AG27" s="2249"/>
      <c r="AH27" s="2249"/>
      <c r="AI27" s="2249"/>
      <c r="AJ27" s="2249"/>
      <c r="AK27" s="1243"/>
      <c r="AS27" s="1155">
        <v>14</v>
      </c>
    </row>
    <row customHeight="1" ht="14.25" hidden="1">
      <c r="Q28" s="376"/>
      <c r="R28" s="376"/>
      <c r="S28" s="1275"/>
      <c r="T28" s="363"/>
      <c r="U28" s="363"/>
      <c r="V28" s="322"/>
      <c r="W28" s="322"/>
      <c r="X28" s="322"/>
      <c r="Y28" s="322"/>
      <c r="Z28" s="322"/>
      <c r="AA28" s="322"/>
      <c r="AB28" s="322"/>
      <c r="AC28" s="322"/>
      <c r="AD28" s="322"/>
      <c r="AE28" s="322"/>
      <c r="AF28" s="322"/>
      <c r="AG28" s="322"/>
      <c r="AH28" s="322"/>
      <c r="AI28" s="322"/>
      <c r="AJ28" s="322"/>
      <c r="AK28" s="322"/>
      <c r="AL28" s="509"/>
      <c r="AS28" s="1155">
        <v>0</v>
      </c>
    </row>
    <row s="1853" customFormat="1" customHeight="1" ht="25.5" hidden="1">
      <c r="A29" s="1368"/>
      <c r="B29" s="1368"/>
      <c r="C29" s="1368"/>
      <c r="D29" s="1368"/>
      <c r="E29" s="1368"/>
      <c r="F29" s="1368"/>
      <c r="G29" s="1368"/>
      <c r="H29" s="1368"/>
      <c r="I29" s="1368"/>
      <c r="J29" s="1368"/>
      <c r="K29" s="1368"/>
      <c r="L29" s="1369"/>
      <c r="M29" s="1368"/>
      <c r="N29" s="1368"/>
      <c r="O29" s="1368"/>
      <c r="S29" s="2250" t="s">
        <v>42</v>
      </c>
      <c r="T29" s="2250"/>
      <c r="U29" s="1372"/>
      <c r="V29" s="2251" t="str">
        <f>IF(TITLE_NAME_OR_PR_CHANGE="",IF(TITLE_NAME_OR_PR="","",TITLE_NAME_OR_PR),TITLE_NAME_OR_PR_CHANGE)</f>
        <v/>
      </c>
      <c r="W29" s="2251"/>
      <c r="X29" s="2251"/>
      <c r="Y29" s="2251"/>
      <c r="Z29" s="2251"/>
      <c r="AA29" s="2251"/>
      <c r="AB29" s="2251"/>
      <c r="AC29" s="326"/>
      <c r="AD29" s="2251" t="str">
        <f>IF(TITLE_NAME_OR_PR_CHANGE="",IF(TITLE_NAME_OR_PR="","",TITLE_NAME_OR_PR),TITLE_NAME_OR_PR_CHANGE)</f>
        <v/>
      </c>
      <c r="AE29" s="2251"/>
      <c r="AF29" s="2251"/>
      <c r="AG29" s="2251"/>
      <c r="AH29" s="2251"/>
      <c r="AI29" s="2251"/>
      <c r="AJ29" s="2251"/>
      <c r="AK29" s="326"/>
      <c r="AL29" s="326"/>
      <c r="AM29" s="280"/>
      <c r="AN29" s="368"/>
      <c r="AO29" s="368"/>
      <c r="AP29" s="368"/>
      <c r="AQ29" s="368"/>
      <c r="AR29" s="368"/>
      <c r="AS29" s="418">
        <v>0</v>
      </c>
    </row>
    <row s="1853" customFormat="1" customHeight="1" ht="18.75" hidden="1">
      <c r="A30" s="1368"/>
      <c r="B30" s="1368"/>
      <c r="C30" s="1368"/>
      <c r="D30" s="1368"/>
      <c r="E30" s="1368"/>
      <c r="F30" s="1368"/>
      <c r="G30" s="1368"/>
      <c r="H30" s="1368"/>
      <c r="I30" s="1368"/>
      <c r="J30" s="1368"/>
      <c r="K30" s="1368"/>
      <c r="L30" s="1369"/>
      <c r="M30" s="1368"/>
      <c r="N30" s="1368"/>
      <c r="O30" s="1368"/>
      <c r="S30" s="2250" t="s">
        <v>425</v>
      </c>
      <c r="T30" s="2250"/>
      <c r="U30" s="1372"/>
      <c r="V30" s="2264" t="str">
        <f>IF(TITLE_DATE_PR_CHANGE="",IF(TITLE_DATE_PR="","",TITLE_DATE_PR),TITLE_DATE_PR_CHANGE)</f>
        <v/>
      </c>
      <c r="W30" s="2264"/>
      <c r="X30" s="2264"/>
      <c r="Y30" s="2264"/>
      <c r="Z30" s="2264"/>
      <c r="AA30" s="2264"/>
      <c r="AB30" s="2264"/>
      <c r="AC30" s="326"/>
      <c r="AD30" s="2264" t="str">
        <f>IF(TITLE_DATE_PR_CHANGE="",IF(TITLE_DATE_PR="","",TITLE_DATE_PR),TITLE_DATE_PR_CHANGE)</f>
        <v/>
      </c>
      <c r="AE30" s="2264"/>
      <c r="AF30" s="2264"/>
      <c r="AG30" s="2264"/>
      <c r="AH30" s="2264"/>
      <c r="AI30" s="2264"/>
      <c r="AJ30" s="2264"/>
      <c r="AK30" s="326"/>
      <c r="AL30" s="326"/>
      <c r="AM30" s="280"/>
      <c r="AN30" s="368"/>
      <c r="AO30" s="368"/>
      <c r="AP30" s="368"/>
      <c r="AQ30" s="368"/>
      <c r="AR30" s="368"/>
      <c r="AS30" s="418">
        <v>0</v>
      </c>
    </row>
    <row s="1853" customFormat="1" customHeight="1" ht="18.75" hidden="1">
      <c r="A31" s="1368"/>
      <c r="B31" s="1368"/>
      <c r="C31" s="1368"/>
      <c r="D31" s="1368"/>
      <c r="E31" s="1368"/>
      <c r="F31" s="1368"/>
      <c r="G31" s="1368"/>
      <c r="H31" s="1368"/>
      <c r="I31" s="1368"/>
      <c r="J31" s="1368"/>
      <c r="K31" s="1368"/>
      <c r="L31" s="1369"/>
      <c r="M31" s="1368"/>
      <c r="N31" s="1368"/>
      <c r="O31" s="1368"/>
      <c r="S31" s="2250" t="s">
        <v>426</v>
      </c>
      <c r="T31" s="2250"/>
      <c r="U31" s="1372"/>
      <c r="V31" s="2251" t="str">
        <f>IF(TITLE_NUMBER_PR_CHANGE="",IF(TITLE_NUMBER_PR="","",TITLE_NUMBER_PR),TITLE_NUMBER_PR_CHANGE)</f>
        <v/>
      </c>
      <c r="W31" s="2251"/>
      <c r="X31" s="2251"/>
      <c r="Y31" s="2251"/>
      <c r="Z31" s="2251"/>
      <c r="AA31" s="2251"/>
      <c r="AB31" s="2251"/>
      <c r="AC31" s="326"/>
      <c r="AD31" s="2251" t="str">
        <f>IF(TITLE_NUMBER_PR_CHANGE="",IF(TITLE_NUMBER_PR="","",TITLE_NUMBER_PR),TITLE_NUMBER_PR_CHANGE)</f>
        <v/>
      </c>
      <c r="AE31" s="2251"/>
      <c r="AF31" s="2251"/>
      <c r="AG31" s="2251"/>
      <c r="AH31" s="2251"/>
      <c r="AI31" s="2251"/>
      <c r="AJ31" s="2251"/>
      <c r="AK31" s="326"/>
      <c r="AL31" s="326"/>
      <c r="AM31" s="280"/>
      <c r="AN31" s="368"/>
      <c r="AO31" s="368"/>
      <c r="AP31" s="368"/>
      <c r="AQ31" s="368"/>
      <c r="AR31" s="368"/>
      <c r="AS31" s="418">
        <v>0</v>
      </c>
    </row>
    <row s="1853" customFormat="1" customHeight="1" ht="18.75" hidden="1">
      <c r="A32" s="1368"/>
      <c r="B32" s="1368"/>
      <c r="C32" s="1368"/>
      <c r="D32" s="1368"/>
      <c r="E32" s="1368"/>
      <c r="F32" s="1368"/>
      <c r="G32" s="1368"/>
      <c r="H32" s="1368"/>
      <c r="I32" s="1368"/>
      <c r="J32" s="1368"/>
      <c r="K32" s="1368"/>
      <c r="L32" s="1369"/>
      <c r="M32" s="1368"/>
      <c r="N32" s="1368"/>
      <c r="O32" s="1368"/>
      <c r="S32" s="2250" t="s">
        <v>43</v>
      </c>
      <c r="T32" s="2250"/>
      <c r="U32" s="1372"/>
      <c r="V32" s="2251" t="str">
        <f>IF(TITLE_IST_PUB_CHANGE="",IF(TITLE_IST_PUB="","",TITLE_IST_PUB),TITLE_IST_PUB_CHANGE)</f>
        <v/>
      </c>
      <c r="W32" s="2251"/>
      <c r="X32" s="2251"/>
      <c r="Y32" s="2251"/>
      <c r="Z32" s="2251"/>
      <c r="AA32" s="2251"/>
      <c r="AB32" s="2251"/>
      <c r="AC32" s="326"/>
      <c r="AD32" s="2251" t="str">
        <f>IF(TITLE_IST_PUB_CHANGE="",IF(TITLE_IST_PUB="","",TITLE_IST_PUB),TITLE_IST_PUB_CHANGE)</f>
        <v/>
      </c>
      <c r="AE32" s="2251"/>
      <c r="AF32" s="2251"/>
      <c r="AG32" s="2251"/>
      <c r="AH32" s="2251"/>
      <c r="AI32" s="2251"/>
      <c r="AJ32" s="2251"/>
      <c r="AK32" s="326"/>
      <c r="AL32" s="326"/>
      <c r="AM32" s="280"/>
      <c r="AN32" s="368"/>
      <c r="AO32" s="368"/>
      <c r="AP32" s="368"/>
      <c r="AQ32" s="368"/>
      <c r="AR32" s="368"/>
      <c r="AS32" s="418">
        <v>0</v>
      </c>
    </row>
    <row customHeight="1" ht="14.25" hidden="1">
      <c r="Q33" s="376"/>
      <c r="R33" s="376"/>
      <c r="S33" s="1275"/>
      <c r="T33" s="363"/>
      <c r="U33" s="363"/>
      <c r="V33" s="322"/>
      <c r="W33" s="322"/>
      <c r="X33" s="322"/>
      <c r="Y33" s="322"/>
      <c r="Z33" s="322"/>
      <c r="AA33" s="322"/>
      <c r="AB33" s="322"/>
      <c r="AC33" s="322"/>
      <c r="AD33" s="322"/>
      <c r="AE33" s="322"/>
      <c r="AF33" s="322"/>
      <c r="AG33" s="322"/>
      <c r="AH33" s="322"/>
      <c r="AI33" s="322"/>
      <c r="AJ33" s="322"/>
      <c r="AK33" s="322"/>
      <c r="AL33" s="509"/>
      <c r="AS33" s="1155">
        <v>0</v>
      </c>
    </row>
    <row s="1853" customFormat="1" customHeight="1" ht="18.75" hidden="1">
      <c r="A34" s="1368"/>
      <c r="B34" s="1368"/>
      <c r="C34" s="1368"/>
      <c r="D34" s="1368"/>
      <c r="E34" s="1368"/>
      <c r="F34" s="1368"/>
      <c r="G34" s="1368"/>
      <c r="H34" s="1368"/>
      <c r="I34" s="1368"/>
      <c r="J34" s="1368"/>
      <c r="K34" s="1368"/>
      <c r="L34" s="1369"/>
      <c r="M34" s="1368"/>
      <c r="N34" s="1368"/>
      <c r="O34" s="1368"/>
      <c r="S34" s="2250" t="s">
        <v>427</v>
      </c>
      <c r="T34" s="2250"/>
      <c r="U34" s="1372"/>
      <c r="V34" s="2264" t="str">
        <f>IF(TITLE_DATE_PR_CHANGE="",IF(TITLE_DATE_PR="","",TITLE_DATE_PR),TITLE_DATE_PR_CHANGE)</f>
        <v/>
      </c>
      <c r="W34" s="2264"/>
      <c r="X34" s="2264"/>
      <c r="Y34" s="2264"/>
      <c r="Z34" s="2264"/>
      <c r="AA34" s="2264"/>
      <c r="AB34" s="2264"/>
      <c r="AC34" s="326"/>
      <c r="AD34" s="2264" t="str">
        <f>IF(TITLE_DATE_PR_CHANGE="",IF(TITLE_DATE_PR="","",TITLE_DATE_PR),TITLE_DATE_PR_CHANGE)</f>
        <v/>
      </c>
      <c r="AE34" s="2264"/>
      <c r="AF34" s="2264"/>
      <c r="AG34" s="2264"/>
      <c r="AH34" s="2264"/>
      <c r="AI34" s="2264"/>
      <c r="AJ34" s="2264"/>
      <c r="AK34" s="326"/>
      <c r="AL34" s="326"/>
      <c r="AM34" s="280"/>
      <c r="AN34" s="368"/>
      <c r="AO34" s="368"/>
      <c r="AP34" s="368"/>
      <c r="AQ34" s="368"/>
      <c r="AR34" s="368"/>
      <c r="AS34" s="418">
        <v>0</v>
      </c>
    </row>
    <row s="1853" customFormat="1" customHeight="1" ht="18.75" hidden="1">
      <c r="A35" s="1368"/>
      <c r="B35" s="1368"/>
      <c r="C35" s="1368"/>
      <c r="D35" s="1368"/>
      <c r="E35" s="1368"/>
      <c r="F35" s="1368"/>
      <c r="G35" s="1368"/>
      <c r="H35" s="1368"/>
      <c r="I35" s="1368"/>
      <c r="J35" s="1368"/>
      <c r="K35" s="1368"/>
      <c r="L35" s="1369"/>
      <c r="M35" s="1368"/>
      <c r="N35" s="1368"/>
      <c r="O35" s="1368"/>
      <c r="S35" s="2250" t="s">
        <v>428</v>
      </c>
      <c r="T35" s="2250"/>
      <c r="U35" s="1372"/>
      <c r="V35" s="2251" t="str">
        <f>IF(TITLE_NUMBER_PR_CHANGE="",IF(TITLE_NUMBER_PR="","",TITLE_NUMBER_PR),TITLE_NUMBER_PR_CHANGE)</f>
        <v/>
      </c>
      <c r="W35" s="2251"/>
      <c r="X35" s="2251"/>
      <c r="Y35" s="2251"/>
      <c r="Z35" s="2251"/>
      <c r="AA35" s="2251"/>
      <c r="AB35" s="2251"/>
      <c r="AC35" s="326"/>
      <c r="AD35" s="2251" t="str">
        <f>IF(TITLE_NUMBER_PR_CHANGE="",IF(TITLE_NUMBER_PR="","",TITLE_NUMBER_PR),TITLE_NUMBER_PR_CHANGE)</f>
        <v/>
      </c>
      <c r="AE35" s="2251"/>
      <c r="AF35" s="2251"/>
      <c r="AG35" s="2251"/>
      <c r="AH35" s="2251"/>
      <c r="AI35" s="2251"/>
      <c r="AJ35" s="2251"/>
      <c r="AK35" s="326"/>
      <c r="AL35" s="326"/>
      <c r="AM35" s="280"/>
      <c r="AN35" s="368"/>
      <c r="AO35" s="368"/>
      <c r="AP35" s="368"/>
      <c r="AQ35" s="368"/>
      <c r="AR35" s="368"/>
      <c r="AS35" s="418">
        <v>0</v>
      </c>
    </row>
    <row s="1853" customFormat="1" customHeight="1" ht="0">
      <c r="A36" s="1368"/>
      <c r="B36" s="1368"/>
      <c r="C36" s="1368"/>
      <c r="D36" s="1368"/>
      <c r="E36" s="1368"/>
      <c r="F36" s="1368"/>
      <c r="G36" s="1368"/>
      <c r="H36" s="1368"/>
      <c r="I36" s="1368"/>
      <c r="J36" s="1368"/>
      <c r="K36" s="1368"/>
      <c r="L36" s="1369"/>
      <c r="M36" s="1368"/>
      <c r="N36" s="1368"/>
      <c r="O36" s="1368"/>
      <c r="S36" s="323"/>
      <c r="T36" s="323"/>
      <c r="U36" s="1340"/>
      <c r="V36" s="326"/>
      <c r="W36" s="326"/>
      <c r="X36" s="326"/>
      <c r="Y36" s="326"/>
      <c r="Z36" s="326"/>
      <c r="AA36" s="326"/>
      <c r="AB36" s="326"/>
      <c r="AC36" s="278" t="s">
        <v>429</v>
      </c>
      <c r="AD36" s="326"/>
      <c r="AE36" s="326"/>
      <c r="AF36" s="326"/>
      <c r="AG36" s="326"/>
      <c r="AH36" s="326"/>
      <c r="AI36" s="326"/>
      <c r="AJ36" s="326"/>
      <c r="AK36" s="278" t="s">
        <v>429</v>
      </c>
      <c r="AN36" s="368"/>
      <c r="AO36" s="368"/>
      <c r="AP36" s="368"/>
      <c r="AQ36" s="368"/>
      <c r="AR36" s="368"/>
      <c r="AS36" s="418">
        <v>0</v>
      </c>
    </row>
    <row customHeight="1" ht="14.699999999999998">
      <c r="Q37" s="376"/>
      <c r="R37" s="376"/>
      <c r="S37" s="1275"/>
      <c r="T37" s="363"/>
      <c r="U37" s="1244"/>
      <c r="V37" s="2252"/>
      <c r="W37" s="2252"/>
      <c r="X37" s="2252"/>
      <c r="Y37" s="2252"/>
      <c r="Z37" s="2252"/>
      <c r="AA37" s="2252"/>
      <c r="AB37" s="2252"/>
      <c r="AC37" s="2252"/>
      <c r="AD37" s="2252"/>
      <c r="AE37" s="2252"/>
      <c r="AF37" s="2252"/>
      <c r="AG37" s="2252"/>
      <c r="AH37" s="2252"/>
      <c r="AI37" s="2252"/>
      <c r="AJ37" s="2252"/>
      <c r="AK37" s="2252"/>
      <c r="AS37" s="1155">
        <v>14</v>
      </c>
    </row>
    <row customHeight="1" ht="14.699999999999998">
      <c r="Q38" s="376"/>
      <c r="R38" s="376"/>
      <c r="S38" s="2127" t="s">
        <v>302</v>
      </c>
      <c r="T38" s="2127"/>
      <c r="U38" s="2127"/>
      <c r="V38" s="2127"/>
      <c r="W38" s="2127"/>
      <c r="X38" s="2127"/>
      <c r="Y38" s="2127"/>
      <c r="Z38" s="2127"/>
      <c r="AA38" s="2127"/>
      <c r="AB38" s="2127"/>
      <c r="AC38" s="2127"/>
      <c r="AD38" s="2127"/>
      <c r="AE38" s="2127"/>
      <c r="AF38" s="2127"/>
      <c r="AG38" s="2127"/>
      <c r="AH38" s="2127"/>
      <c r="AI38" s="2127"/>
      <c r="AJ38" s="2127"/>
      <c r="AK38" s="2127"/>
      <c r="AL38" s="2127"/>
      <c r="AM38" s="2127" t="s">
        <v>303</v>
      </c>
      <c r="AS38" s="1155">
        <v>14</v>
      </c>
    </row>
    <row customHeight="1" ht="14.699999999999998">
      <c r="Q39" s="376"/>
      <c r="R39" s="376"/>
      <c r="S39" s="2273" t="s">
        <v>88</v>
      </c>
      <c r="T39" s="2209" t="s">
        <v>430</v>
      </c>
      <c r="U39" s="301"/>
      <c r="V39" s="2274" t="s">
        <v>431</v>
      </c>
      <c r="W39" s="2275"/>
      <c r="X39" s="2275"/>
      <c r="Y39" s="2275"/>
      <c r="Z39" s="2275"/>
      <c r="AA39" s="2275"/>
      <c r="AB39" s="2276"/>
      <c r="AC39" s="2277" t="s">
        <v>432</v>
      </c>
      <c r="AD39" s="2274" t="s">
        <v>431</v>
      </c>
      <c r="AE39" s="2275"/>
      <c r="AF39" s="2275"/>
      <c r="AG39" s="2275"/>
      <c r="AH39" s="2275"/>
      <c r="AI39" s="2275"/>
      <c r="AJ39" s="2276"/>
      <c r="AK39" s="2277" t="s">
        <v>433</v>
      </c>
      <c r="AL39" s="2280" t="s">
        <v>434</v>
      </c>
      <c r="AM39" s="2127"/>
      <c r="AS39" s="1155">
        <v>14</v>
      </c>
    </row>
    <row customHeight="1" ht="35.699999999999996">
      <c r="Q40" s="376"/>
      <c r="R40" s="376"/>
      <c r="S40" s="2273"/>
      <c r="T40" s="2209"/>
      <c r="U40" s="1031"/>
      <c r="V40" s="2260" t="s">
        <v>435</v>
      </c>
      <c r="W40" s="2283"/>
      <c r="X40" s="2262" t="s">
        <v>437</v>
      </c>
      <c r="Y40" s="2263"/>
      <c r="Z40" s="2262" t="s">
        <v>438</v>
      </c>
      <c r="AA40" s="2269"/>
      <c r="AB40" s="2263"/>
      <c r="AC40" s="2278"/>
      <c r="AD40" s="2260" t="s">
        <v>452</v>
      </c>
      <c r="AE40" s="2283"/>
      <c r="AF40" s="2262" t="s">
        <v>437</v>
      </c>
      <c r="AG40" s="2263"/>
      <c r="AH40" s="2262" t="s">
        <v>438</v>
      </c>
      <c r="AI40" s="2269"/>
      <c r="AJ40" s="2263"/>
      <c r="AK40" s="2278"/>
      <c r="AL40" s="2281"/>
      <c r="AM40" s="2127"/>
      <c r="AS40" s="1155">
        <v>34</v>
      </c>
    </row>
    <row customHeight="1" ht="35.699999999999996">
      <c r="A41" s="1370"/>
      <c r="B41" s="1370" t="s">
        <v>139</v>
      </c>
      <c r="C41" s="1370" t="s">
        <v>140</v>
      </c>
      <c r="D41" s="1370" t="s">
        <v>141</v>
      </c>
      <c r="E41" s="1364" t="s">
        <v>439</v>
      </c>
      <c r="F41" s="1364" t="s">
        <v>440</v>
      </c>
      <c r="G41" s="1364" t="s">
        <v>441</v>
      </c>
      <c r="H41" s="1364" t="s">
        <v>442</v>
      </c>
      <c r="I41" s="1364" t="s">
        <v>443</v>
      </c>
      <c r="J41" s="1364" t="s">
        <v>444</v>
      </c>
      <c r="K41" s="1364" t="s">
        <v>445</v>
      </c>
      <c r="L41" s="1364" t="s">
        <v>420</v>
      </c>
      <c r="Q41" s="376"/>
      <c r="R41" s="376"/>
      <c r="S41" s="2273"/>
      <c r="T41" s="2209"/>
      <c r="U41" s="302"/>
      <c r="V41" s="2261"/>
      <c r="W41" s="2284"/>
      <c r="X41" s="1222" t="s">
        <v>446</v>
      </c>
      <c r="Y41" s="1222" t="s">
        <v>447</v>
      </c>
      <c r="Z41" s="1338" t="s">
        <v>448</v>
      </c>
      <c r="AA41" s="2270" t="s">
        <v>449</v>
      </c>
      <c r="AB41" s="2271"/>
      <c r="AC41" s="2279"/>
      <c r="AD41" s="2261"/>
      <c r="AE41" s="2284"/>
      <c r="AF41" s="1222" t="s">
        <v>446</v>
      </c>
      <c r="AG41" s="1222" t="s">
        <v>447</v>
      </c>
      <c r="AH41" s="1338" t="s">
        <v>448</v>
      </c>
      <c r="AI41" s="2270" t="s">
        <v>449</v>
      </c>
      <c r="AJ41" s="2271"/>
      <c r="AK41" s="2279"/>
      <c r="AL41" s="2282"/>
      <c r="AM41" s="2127"/>
      <c r="AS41" s="1155">
        <v>34</v>
      </c>
    </row>
    <row s="1641" customFormat="1" customHeight="1" ht="11.25" hidden="1">
      <c r="A42" s="1370"/>
      <c r="B42" s="1370"/>
      <c r="C42" s="1370"/>
      <c r="D42" s="1370"/>
      <c r="E42" s="1370"/>
      <c r="F42" s="1370"/>
      <c r="G42" s="1370"/>
      <c r="H42" s="1370"/>
      <c r="I42" s="1370"/>
      <c r="J42" s="1370"/>
      <c r="K42" s="1370"/>
      <c r="L42" s="1364"/>
      <c r="M42" s="1362"/>
      <c r="N42" s="1362"/>
      <c r="O42" s="1362"/>
      <c r="P42" s="1246"/>
      <c r="Q42" s="1247"/>
      <c r="R42" s="1254">
        <v>1</v>
      </c>
      <c r="S42" s="1277" t="s">
        <v>109</v>
      </c>
      <c r="T42" s="1255" t="s">
        <v>110</v>
      </c>
      <c r="U42" s="1245" t="str">
        <f>OFFSET(U42,0,-1)</f>
        <v>2</v>
      </c>
      <c r="V42" s="1335">
        <f>OFFSET(V42,0,-1)+1</f>
        <v>3</v>
      </c>
      <c r="W42" s="1335"/>
      <c r="X42" s="1335">
        <f>OFFSET(X42,0,-1)+1</f>
        <v>1</v>
      </c>
      <c r="Y42" s="1335">
        <f>OFFSET(Y42,0,-1)+1</f>
        <v>2</v>
      </c>
      <c r="Z42" s="1335">
        <f>OFFSET(Z42,0,-1)+1</f>
        <v>3</v>
      </c>
      <c r="AA42" s="2272">
        <f>OFFSET(AA42,0,-1)+1</f>
        <v>4</v>
      </c>
      <c r="AB42" s="2272"/>
      <c r="AC42" s="1335">
        <f>OFFSET(AC42,0,-2)+1</f>
        <v>5</v>
      </c>
      <c r="AD42" s="1335">
        <f>OFFSET(AD42,0,-1)+1</f>
        <v>6</v>
      </c>
      <c r="AE42" s="1335"/>
      <c r="AF42" s="1335">
        <f>OFFSET(AF42,0,-1)+1</f>
        <v>1</v>
      </c>
      <c r="AG42" s="1335">
        <f>OFFSET(AG42,0,-1)+1</f>
        <v>2</v>
      </c>
      <c r="AH42" s="1335">
        <f>OFFSET(AH42,0,-1)+1</f>
        <v>3</v>
      </c>
      <c r="AI42" s="2272">
        <f>OFFSET(AI42,0,-1)+1</f>
        <v>4</v>
      </c>
      <c r="AJ42" s="2272"/>
      <c r="AK42" s="1335">
        <f>OFFSET(AK42,0,-2)+1</f>
        <v>5</v>
      </c>
      <c r="AL42" s="1245">
        <f>OFFSET(AL42,0,-1)</f>
        <v>5</v>
      </c>
      <c r="AM42" s="1335">
        <f>OFFSET(AM42,0,-1)+1</f>
        <v>6</v>
      </c>
      <c r="AN42" s="511"/>
      <c r="AO42" s="511"/>
      <c r="AP42" s="511"/>
      <c r="AQ42" s="511"/>
      <c r="AR42" s="511"/>
      <c r="AS42" s="496">
        <v>0</v>
      </c>
    </row>
    <row customHeight="1" ht="22.049999999999997">
      <c r="A43" s="1363" t="s">
        <v>172</v>
      </c>
      <c r="B43" s="1363"/>
      <c r="C43" s="1363"/>
      <c r="D43" s="1363"/>
      <c r="E43" s="2258">
        <v>1</v>
      </c>
      <c r="F43" s="1363"/>
      <c r="G43" s="1363"/>
      <c r="H43" s="1363"/>
      <c r="I43" s="1363"/>
      <c r="J43" s="1363"/>
      <c r="K43" s="1363"/>
      <c r="L43" s="1364"/>
      <c r="M43" s="1365"/>
      <c r="N43" s="1365"/>
      <c r="O43" s="1365"/>
      <c r="P43" s="361"/>
      <c r="Q43" s="360"/>
      <c r="R43" s="355"/>
      <c r="S43" s="1336">
        <f>INDEX(PT_DIFFERENTIATION_NUM_NTAR,MATCH(A43,PT_DIFFERENTIATION_NTAR_ID,0))</f>
        <v>0</v>
      </c>
      <c r="T43" s="298" t="s">
        <v>127</v>
      </c>
      <c r="U43" s="300"/>
      <c r="V43" s="2242"/>
      <c r="W43" s="2243"/>
      <c r="X43" s="2243"/>
      <c r="Y43" s="2243"/>
      <c r="Z43" s="2243"/>
      <c r="AA43" s="2243"/>
      <c r="AB43" s="2243"/>
      <c r="AC43" s="2244"/>
      <c r="AD43" s="2242" t="str">
        <f>INDEX(PT_DIFFERENTIATION_NTAR,MATCH(A43,PT_DIFFERENTIATION_NTAR_ID,0))</f>
        <v/>
      </c>
      <c r="AE43" s="2243"/>
      <c r="AF43" s="2243"/>
      <c r="AG43" s="2243"/>
      <c r="AH43" s="2243"/>
      <c r="AI43" s="2243"/>
      <c r="AJ43" s="2243"/>
      <c r="AK43" s="2243"/>
      <c r="AL43" s="2244"/>
      <c r="AM43" s="1258" t="str">
        <f>IF(TEMPLATE_GROUP="P","По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"&amp;"с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"&amp;"2010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"&amp;"теплоснабжения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"&amp;"6 части 1 статьи 23 4 Федерального закона от 27 июля 2010 г. N 190-ФЗ ""О теплоснабжении"".
"&amp;"Для каждого вида тарифа в сфере теплоснабжения форма заполняется отдельно.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цены"&amp;"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"&amp;"В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"&amp;"Федерального закона от 27 июля 2010 г. N 190-ФЗ ""О теплоснабжении"". 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00"/>
      <c r="AP43" s="500" t="str">
        <f>IF(T43="","",T43)</f>
        <v>Наименование тарифа</v>
      </c>
      <c r="AQ43" s="500"/>
      <c r="AR43" s="500"/>
      <c r="AS43" s="1155">
        <v>21</v>
      </c>
    </row>
    <row customHeight="1" ht="22.049999999999997">
      <c r="A44" s="1363" t="s">
        <v>172</v>
      </c>
      <c r="B44" s="1363" t="s">
        <v>173</v>
      </c>
      <c r="C44" s="1363"/>
      <c r="D44" s="1363"/>
      <c r="E44" s="2259"/>
      <c r="F44" s="2258">
        <v>1</v>
      </c>
      <c r="G44" s="1363"/>
      <c r="H44" s="1363"/>
      <c r="I44" s="1363"/>
      <c r="J44" s="1363"/>
      <c r="K44" s="1363"/>
      <c r="L44" s="1364"/>
      <c r="M44" s="1365"/>
      <c r="N44" s="1365"/>
      <c r="O44" s="1365"/>
      <c r="P44" s="1332"/>
      <c r="Q44" s="352"/>
      <c r="R44" s="353"/>
      <c r="S44" s="1336" t="str">
        <f>INDEX(PT_DIFFERENTIATION_NUM_TER,MATCH(B44,PT_DIFFERENTIATION_TER_ID,0))</f>
        <v>.</v>
      </c>
      <c r="T44" s="308" t="s">
        <v>399</v>
      </c>
      <c r="U44" s="300"/>
      <c r="V44" s="2242"/>
      <c r="W44" s="2243"/>
      <c r="X44" s="2243"/>
      <c r="Y44" s="2243"/>
      <c r="Z44" s="2243"/>
      <c r="AA44" s="2243"/>
      <c r="AB44" s="2243"/>
      <c r="AC44" s="2244"/>
      <c r="AD44" s="2242" t="str">
        <f>INDEX(PT_DIFFERENTIATION_TER,MATCH(B44,PT_DIFFERENTIATION_TER_ID,0))</f>
        <v/>
      </c>
      <c r="AE44" s="2243"/>
      <c r="AF44" s="2243"/>
      <c r="AG44" s="2243"/>
      <c r="AH44" s="2243"/>
      <c r="AI44" s="2243"/>
      <c r="AJ44" s="2243"/>
      <c r="AK44" s="2243"/>
      <c r="AL44" s="2244"/>
      <c r="AM44" s="1258" t="s">
        <v>400</v>
      </c>
      <c r="AO44" s="500"/>
      <c r="AP44" s="500" t="str">
        <f>IF(T44="","",T44)</f>
        <v>Территория действия тарифа</v>
      </c>
      <c r="AQ44" s="500"/>
      <c r="AR44" s="500"/>
      <c r="AS44" s="1155">
        <v>21</v>
      </c>
    </row>
    <row customHeight="1" ht="24">
      <c r="A45" s="1363" t="s">
        <v>172</v>
      </c>
      <c r="B45" s="1363" t="s">
        <v>173</v>
      </c>
      <c r="C45" s="1363" t="s">
        <v>174</v>
      </c>
      <c r="D45" s="1363"/>
      <c r="E45" s="2259"/>
      <c r="F45" s="2259"/>
      <c r="G45" s="2258">
        <v>1</v>
      </c>
      <c r="H45" s="1363"/>
      <c r="I45" s="1363"/>
      <c r="J45" s="1363"/>
      <c r="K45" s="1363"/>
      <c r="L45" s="1364"/>
      <c r="M45" s="1365"/>
      <c r="N45" s="1365"/>
      <c r="O45" s="1365"/>
      <c r="P45" s="354"/>
      <c r="Q45" s="352"/>
      <c r="R45" s="353"/>
      <c r="S45" s="1336" t="str">
        <f>INDEX(PT_DIFFERENTIATION_NUM_CS,MATCH(C45,PT_DIFFERENTIATION_CS_ID,0))</f>
        <v>..</v>
      </c>
      <c r="T45" s="309" t="s">
        <v>401</v>
      </c>
      <c r="U45" s="300"/>
      <c r="V45" s="2242"/>
      <c r="W45" s="2243"/>
      <c r="X45" s="2243"/>
      <c r="Y45" s="2243"/>
      <c r="Z45" s="2243"/>
      <c r="AA45" s="2243"/>
      <c r="AB45" s="2243"/>
      <c r="AC45" s="2244"/>
      <c r="AD45" s="2242" t="str">
        <f>INDEX(PT_DIFFERENTIATION_CS,MATCH(C45,PT_DIFFERENTIATION_CS_ID,0))</f>
        <v/>
      </c>
      <c r="AE45" s="2243"/>
      <c r="AF45" s="2243"/>
      <c r="AG45" s="2243"/>
      <c r="AH45" s="2243"/>
      <c r="AI45" s="2243"/>
      <c r="AJ45" s="2243"/>
      <c r="AK45" s="2243"/>
      <c r="AL45" s="2244"/>
      <c r="AM45" s="1258" t="s">
        <v>402</v>
      </c>
      <c r="AO45" s="500"/>
      <c r="AP45" s="500" t="str">
        <f>IF(T45="","",T45)</f>
        <v>Наименование системы теплоснабжения </v>
      </c>
      <c r="AQ45" s="500"/>
      <c r="AR45" s="500"/>
      <c r="AS45" s="1155">
        <v>23</v>
      </c>
    </row>
    <row customHeight="1" ht="22.049999999999997">
      <c r="A46" s="1363" t="s">
        <v>172</v>
      </c>
      <c r="B46" s="1363" t="s">
        <v>173</v>
      </c>
      <c r="C46" s="1363" t="s">
        <v>174</v>
      </c>
      <c r="D46" s="1363" t="s">
        <v>175</v>
      </c>
      <c r="E46" s="2259"/>
      <c r="F46" s="2259"/>
      <c r="G46" s="2259"/>
      <c r="H46" s="2258">
        <v>1</v>
      </c>
      <c r="I46" s="1363"/>
      <c r="J46" s="1363"/>
      <c r="K46" s="1363"/>
      <c r="L46" s="1364"/>
      <c r="M46" s="1365"/>
      <c r="N46" s="1365"/>
      <c r="O46" s="1365"/>
      <c r="P46" s="354"/>
      <c r="Q46" s="352"/>
      <c r="R46" s="353"/>
      <c r="S46" s="1336" t="str">
        <f>INDEX(PT_DIFFERENTIATION_NUM_IST_TE,MATCH(D46,PT_DIFFERENTIATION_IST_TE_ID,0))</f>
        <v>...</v>
      </c>
      <c r="T46" s="310" t="s">
        <v>403</v>
      </c>
      <c r="U46" s="300"/>
      <c r="V46" s="2242"/>
      <c r="W46" s="2243"/>
      <c r="X46" s="2243"/>
      <c r="Y46" s="2243"/>
      <c r="Z46" s="2243"/>
      <c r="AA46" s="2243"/>
      <c r="AB46" s="2243"/>
      <c r="AC46" s="2244"/>
      <c r="AD46" s="2242" t="str">
        <f>INDEX(PT_DIFFERENTIATION_IST_TE,MATCH(D46,PT_DIFFERENTIATION_IST_TE_ID,0))</f>
        <v/>
      </c>
      <c r="AE46" s="2243"/>
      <c r="AF46" s="2243"/>
      <c r="AG46" s="2243"/>
      <c r="AH46" s="2243"/>
      <c r="AI46" s="2243"/>
      <c r="AJ46" s="2243"/>
      <c r="AK46" s="2243"/>
      <c r="AL46" s="2244"/>
      <c r="AM46" s="1258" t="s">
        <v>404</v>
      </c>
      <c r="AO46" s="500"/>
      <c r="AP46" s="500" t="str">
        <f>IF(T46="","",T46)</f>
        <v>Источник тепловой энергии  </v>
      </c>
      <c r="AQ46" s="500"/>
      <c r="AR46" s="500"/>
      <c r="AS46" s="1155">
        <v>21</v>
      </c>
    </row>
    <row s="1642" customFormat="1" customHeight="1" ht="0">
      <c r="A47" s="1343" t="s">
        <v>172</v>
      </c>
      <c r="B47" s="1343" t="s">
        <v>173</v>
      </c>
      <c r="C47" s="1343" t="s">
        <v>174</v>
      </c>
      <c r="D47" s="1343" t="s">
        <v>175</v>
      </c>
      <c r="E47" s="2259"/>
      <c r="F47" s="2259"/>
      <c r="G47" s="2259"/>
      <c r="H47" s="2259"/>
      <c r="I47" s="2256" t="str">
        <f>S46&amp;".1"</f>
        <v>....1</v>
      </c>
      <c r="J47" s="1343"/>
      <c r="K47" s="1343"/>
      <c r="L47" s="1346" t="s">
        <v>405</v>
      </c>
      <c r="M47" s="510"/>
      <c r="N47" s="510"/>
      <c r="O47" s="510"/>
      <c r="P47" s="2257">
        <v>1</v>
      </c>
      <c r="Q47" s="1331"/>
      <c r="R47" s="356"/>
      <c r="S47" s="1042"/>
      <c r="T47" s="1383"/>
      <c r="U47" s="1384"/>
      <c r="V47" s="2296"/>
      <c r="W47" s="2297"/>
      <c r="X47" s="2297"/>
      <c r="Y47" s="2297"/>
      <c r="Z47" s="2297"/>
      <c r="AA47" s="2297"/>
      <c r="AB47" s="2297"/>
      <c r="AC47" s="2298"/>
      <c r="AD47" s="2296"/>
      <c r="AE47" s="2297"/>
      <c r="AF47" s="2297"/>
      <c r="AG47" s="2297"/>
      <c r="AH47" s="2297"/>
      <c r="AI47" s="2297"/>
      <c r="AJ47" s="2297"/>
      <c r="AK47" s="2297"/>
      <c r="AL47" s="2298"/>
      <c r="AM47" s="1385"/>
      <c r="AO47" s="500"/>
      <c r="AP47" s="500" t="str">
        <f>IF(T47="","",T47)</f>
        <v/>
      </c>
      <c r="AQ47" s="500"/>
      <c r="AR47" s="500"/>
      <c r="AS47" s="511">
        <v>0</v>
      </c>
    </row>
    <row customHeight="1" ht="22.049999999999997">
      <c r="A48" s="1363" t="s">
        <v>172</v>
      </c>
      <c r="B48" s="1363" t="s">
        <v>173</v>
      </c>
      <c r="C48" s="1363" t="s">
        <v>174</v>
      </c>
      <c r="D48" s="1363" t="s">
        <v>175</v>
      </c>
      <c r="E48" s="2259"/>
      <c r="F48" s="2259"/>
      <c r="G48" s="2259"/>
      <c r="H48" s="2259"/>
      <c r="I48" s="2286"/>
      <c r="J48" s="2256" t="str">
        <f>S46&amp;".1"</f>
        <v>....1</v>
      </c>
      <c r="K48" s="1363"/>
      <c r="L48" s="1364" t="s">
        <v>408</v>
      </c>
      <c r="P48" s="2257"/>
      <c r="Q48" s="2257">
        <v>1</v>
      </c>
      <c r="R48" s="357"/>
      <c r="S48" s="1336" t="str">
        <f>$J48</f>
        <v>....1</v>
      </c>
      <c r="T48" s="286" t="s">
        <v>409</v>
      </c>
      <c r="U48" s="300"/>
      <c r="V48" s="2245"/>
      <c r="W48" s="2246"/>
      <c r="X48" s="2246"/>
      <c r="Y48" s="2246"/>
      <c r="Z48" s="2246"/>
      <c r="AA48" s="2246"/>
      <c r="AB48" s="2246"/>
      <c r="AC48" s="2247"/>
      <c r="AD48" s="2245"/>
      <c r="AE48" s="2246"/>
      <c r="AF48" s="2246"/>
      <c r="AG48" s="2246"/>
      <c r="AH48" s="2246"/>
      <c r="AI48" s="2246"/>
      <c r="AJ48" s="2246"/>
      <c r="AK48" s="2246"/>
      <c r="AL48" s="2247"/>
      <c r="AM48" s="1258" t="s">
        <v>410</v>
      </c>
      <c r="AO48" s="500"/>
      <c r="AP48" s="500" t="str">
        <f>IF(T48="","",T48)</f>
        <v>Группа потребителей</v>
      </c>
      <c r="AQ48" s="500"/>
      <c r="AR48" s="500"/>
      <c r="AS48" s="1155">
        <v>21</v>
      </c>
    </row>
    <row customHeight="1" ht="22.049999999999997">
      <c r="A49" s="1363" t="s">
        <v>172</v>
      </c>
      <c r="B49" s="1363" t="s">
        <v>173</v>
      </c>
      <c r="C49" s="1363" t="s">
        <v>174</v>
      </c>
      <c r="D49" s="1363" t="s">
        <v>175</v>
      </c>
      <c r="E49" s="2259"/>
      <c r="F49" s="2259"/>
      <c r="G49" s="2259"/>
      <c r="H49" s="2259"/>
      <c r="I49" s="2286"/>
      <c r="J49" s="2286"/>
      <c r="K49" s="2256" t="str">
        <f>J48&amp;".1"</f>
        <v>....1.1</v>
      </c>
      <c r="L49" s="1364" t="s">
        <v>411</v>
      </c>
      <c r="P49" s="2257"/>
      <c r="Q49" s="2257"/>
      <c r="R49" s="357">
        <v>1</v>
      </c>
      <c r="S49" s="1336" t="str">
        <f>$K49</f>
        <v>....1.1</v>
      </c>
      <c r="T49" s="1347"/>
      <c r="U49" s="300"/>
      <c r="V49" s="751"/>
      <c r="W49" s="325"/>
      <c r="X49" s="751"/>
      <c r="Y49" s="1257"/>
      <c r="Z49" s="2265"/>
      <c r="AA49" s="2107" t="s">
        <v>66</v>
      </c>
      <c r="AB49" s="2265"/>
      <c r="AC49" s="2107" t="s">
        <v>66</v>
      </c>
      <c r="AD49" s="751"/>
      <c r="AE49" s="325"/>
      <c r="AF49" s="751"/>
      <c r="AG49" s="1257"/>
      <c r="AH49" s="2265"/>
      <c r="AI49" s="2107" t="s">
        <v>66</v>
      </c>
      <c r="AJ49" s="2287"/>
      <c r="AK49" s="2107" t="s">
        <v>66</v>
      </c>
      <c r="AL49" s="1348"/>
      <c r="AM49" s="2253" t="s">
        <v>453</v>
      </c>
      <c r="AN49" s="511">
        <f>STRCHECKDATE(V50:AL50)</f>
      </c>
      <c r="AO49" s="500"/>
      <c r="AP49" s="500" t="str">
        <f>IF(T49="","",T49)</f>
        <v/>
      </c>
      <c r="AQ49" s="500"/>
      <c r="AR49" s="500"/>
      <c r="AS49" s="1155">
        <v>21</v>
      </c>
    </row>
    <row customHeight="1" ht="1.05">
      <c r="A50" s="1363" t="s">
        <v>172</v>
      </c>
      <c r="B50" s="1363" t="s">
        <v>173</v>
      </c>
      <c r="C50" s="1363" t="s">
        <v>174</v>
      </c>
      <c r="D50" s="1363" t="s">
        <v>175</v>
      </c>
      <c r="E50" s="2259"/>
      <c r="F50" s="2259"/>
      <c r="G50" s="2259"/>
      <c r="H50" s="2259"/>
      <c r="I50" s="2286"/>
      <c r="J50" s="2286"/>
      <c r="K50" s="2256"/>
      <c r="L50" s="1364"/>
      <c r="P50" s="2257"/>
      <c r="Q50" s="2257"/>
      <c r="R50" s="357"/>
      <c r="S50" s="1342"/>
      <c r="T50" s="300"/>
      <c r="U50" s="300"/>
      <c r="V50" s="325"/>
      <c r="W50" s="325"/>
      <c r="X50" s="325"/>
      <c r="Y50" s="328" t="str">
        <f>Z49&amp;"-"&amp;AB49</f>
        <v>-</v>
      </c>
      <c r="Z50" s="2266"/>
      <c r="AA50" s="2107"/>
      <c r="AB50" s="2266"/>
      <c r="AC50" s="2107"/>
      <c r="AD50" s="325"/>
      <c r="AE50" s="325"/>
      <c r="AF50" s="325"/>
      <c r="AG50" s="328" t="str">
        <f>AH49&amp;"-"&amp;AJ49</f>
        <v>-</v>
      </c>
      <c r="AH50" s="2266"/>
      <c r="AI50" s="2107"/>
      <c r="AJ50" s="2288"/>
      <c r="AK50" s="2107"/>
      <c r="AL50" s="1349"/>
      <c r="AM50" s="2254"/>
      <c r="AO50" s="500"/>
      <c r="AP50" s="500" t="str">
        <f>IF(T50="","",T50)</f>
        <v/>
      </c>
      <c r="AQ50" s="500"/>
      <c r="AR50" s="500"/>
      <c r="AS50" s="1155">
        <v>1</v>
      </c>
    </row>
    <row customHeight="1" ht="11.549999999999999">
      <c r="A51" s="1363" t="s">
        <v>172</v>
      </c>
      <c r="B51" s="1363" t="s">
        <v>173</v>
      </c>
      <c r="C51" s="1363" t="s">
        <v>174</v>
      </c>
      <c r="D51" s="1363" t="s">
        <v>175</v>
      </c>
      <c r="E51" s="2259"/>
      <c r="F51" s="2259"/>
      <c r="G51" s="2259"/>
      <c r="H51" s="2259"/>
      <c r="I51" s="2286"/>
      <c r="J51" s="2256"/>
      <c r="K51" s="1363"/>
      <c r="L51" s="1364"/>
      <c r="P51" s="2257"/>
      <c r="Q51" s="2257"/>
      <c r="R51" s="356"/>
      <c r="S51" s="1278"/>
      <c r="T51" s="287" t="s">
        <v>413</v>
      </c>
      <c r="U51" s="367"/>
      <c r="V51" s="367"/>
      <c r="W51" s="367"/>
      <c r="X51" s="367"/>
      <c r="Y51" s="367"/>
      <c r="Z51" s="367"/>
      <c r="AA51" s="367"/>
      <c r="AB51" s="367"/>
      <c r="AC51" s="367"/>
      <c r="AD51" s="367"/>
      <c r="AE51" s="367"/>
      <c r="AF51" s="367"/>
      <c r="AG51" s="367"/>
      <c r="AH51" s="367"/>
      <c r="AI51" s="367"/>
      <c r="AJ51" s="367"/>
      <c r="AK51" s="367"/>
      <c r="AL51" s="324"/>
      <c r="AM51" s="2255"/>
      <c r="AO51" s="500"/>
      <c r="AP51" s="500" t="str">
        <f>IF(T51="","",T51)</f>
        <v>Добавить вид теплоносителя (параметры теплоносителя)</v>
      </c>
      <c r="AQ51" s="500"/>
      <c r="AR51" s="500"/>
      <c r="AS51" s="1155">
        <v>11</v>
      </c>
    </row>
    <row customHeight="1" ht="11.549999999999999">
      <c r="A52" s="1363" t="s">
        <v>172</v>
      </c>
      <c r="B52" s="1363" t="s">
        <v>173</v>
      </c>
      <c r="C52" s="1363" t="s">
        <v>174</v>
      </c>
      <c r="D52" s="1363" t="s">
        <v>175</v>
      </c>
      <c r="E52" s="2259"/>
      <c r="F52" s="2259"/>
      <c r="G52" s="2259"/>
      <c r="H52" s="2259"/>
      <c r="I52" s="2256"/>
      <c r="J52" s="1363"/>
      <c r="K52" s="1363"/>
      <c r="L52" s="1364"/>
      <c r="P52" s="2257"/>
      <c r="Q52" s="1331"/>
      <c r="R52" s="356"/>
      <c r="S52" s="1278"/>
      <c r="T52" s="365" t="s">
        <v>414</v>
      </c>
      <c r="U52" s="367"/>
      <c r="V52" s="367"/>
      <c r="W52" s="367"/>
      <c r="X52" s="367"/>
      <c r="Y52" s="367"/>
      <c r="Z52" s="367"/>
      <c r="AA52" s="367"/>
      <c r="AB52" s="367"/>
      <c r="AC52" s="366"/>
      <c r="AD52" s="367"/>
      <c r="AE52" s="367"/>
      <c r="AF52" s="367"/>
      <c r="AG52" s="367"/>
      <c r="AH52" s="367"/>
      <c r="AI52" s="367"/>
      <c r="AJ52" s="367"/>
      <c r="AK52" s="366"/>
      <c r="AL52" s="367"/>
      <c r="AM52" s="303"/>
      <c r="AO52" s="500"/>
      <c r="AP52" s="500" t="str">
        <f>IF(T52="","",T52)</f>
        <v>Добавить группу потребителей</v>
      </c>
      <c r="AQ52" s="500"/>
      <c r="AR52" s="500"/>
      <c r="AS52" s="1155">
        <v>11</v>
      </c>
    </row>
    <row customHeight="1" ht="0">
      <c r="A53" s="1363" t="s">
        <v>172</v>
      </c>
      <c r="B53" s="1363" t="s">
        <v>173</v>
      </c>
      <c r="C53" s="1363" t="s">
        <v>174</v>
      </c>
      <c r="D53" s="1363" t="s">
        <v>175</v>
      </c>
      <c r="E53" s="2259"/>
      <c r="F53" s="2259"/>
      <c r="G53" s="2259"/>
      <c r="H53" s="2258"/>
      <c r="I53" s="1363"/>
      <c r="J53" s="1363"/>
      <c r="K53" s="1363"/>
      <c r="L53" s="1364"/>
      <c r="M53" s="1365"/>
      <c r="N53" s="1365"/>
      <c r="O53" s="537"/>
      <c r="P53" s="360"/>
      <c r="Q53" s="375"/>
      <c r="R53" s="355"/>
      <c r="S53" s="1386"/>
      <c r="T53" s="1387"/>
      <c r="U53" s="1388"/>
      <c r="V53" s="1388"/>
      <c r="W53" s="1388"/>
      <c r="X53" s="1388"/>
      <c r="Y53" s="1388"/>
      <c r="Z53" s="1388"/>
      <c r="AA53" s="1388"/>
      <c r="AB53" s="1388"/>
      <c r="AC53" s="1388"/>
      <c r="AD53" s="1388"/>
      <c r="AE53" s="1388"/>
      <c r="AF53" s="1388"/>
      <c r="AG53" s="1388"/>
      <c r="AH53" s="1388"/>
      <c r="AI53" s="1388"/>
      <c r="AJ53" s="1388"/>
      <c r="AK53" s="1388"/>
      <c r="AL53" s="1388"/>
      <c r="AM53" s="1389"/>
      <c r="AO53" s="500"/>
      <c r="AP53" s="500" t="str">
        <f>IF(T53="","",T53)</f>
        <v/>
      </c>
      <c r="AQ53" s="500"/>
      <c r="AR53" s="500"/>
      <c r="AS53" s="1155">
        <v>0</v>
      </c>
    </row>
    <row s="1642" customFormat="1" customHeight="1" ht="1.05">
      <c r="A54" s="1343" t="s">
        <v>172</v>
      </c>
      <c r="B54" s="1343" t="s">
        <v>173</v>
      </c>
      <c r="C54" s="1343" t="s">
        <v>174</v>
      </c>
      <c r="D54" s="1314"/>
      <c r="E54" s="2259"/>
      <c r="F54" s="2259"/>
      <c r="G54" s="2258"/>
      <c r="H54" s="1314"/>
      <c r="I54" s="1314"/>
      <c r="J54" s="1314"/>
      <c r="K54" s="1314"/>
      <c r="L54" s="1339"/>
      <c r="M54" s="1315"/>
      <c r="N54" s="1315"/>
      <c r="P54" s="1316"/>
      <c r="Q54" s="1317"/>
      <c r="R54" s="1316"/>
      <c r="S54" s="1322"/>
      <c r="T54" s="1325" t="s">
        <v>416</v>
      </c>
      <c r="U54" s="1324"/>
      <c r="V54" s="1324"/>
      <c r="W54" s="1324"/>
      <c r="X54" s="1324"/>
      <c r="Y54" s="1324"/>
      <c r="Z54" s="1324"/>
      <c r="AA54" s="1324"/>
      <c r="AB54" s="1324"/>
      <c r="AC54" s="1324"/>
      <c r="AD54" s="1324"/>
      <c r="AE54" s="1324"/>
      <c r="AF54" s="1324"/>
      <c r="AG54" s="1324"/>
      <c r="AH54" s="1324"/>
      <c r="AI54" s="1324"/>
      <c r="AJ54" s="1324"/>
      <c r="AK54" s="1324"/>
      <c r="AL54" s="1324"/>
      <c r="AM54" s="1324"/>
      <c r="AO54" s="789"/>
      <c r="AP54" s="789" t="str">
        <f>IF(T54="","",T54)</f>
        <v>Добавить источник для дифференциации</v>
      </c>
      <c r="AQ54" s="789"/>
      <c r="AR54" s="789"/>
      <c r="AS54" s="518">
        <v>1</v>
      </c>
    </row>
    <row s="1642" customFormat="1" customHeight="1" ht="1.05">
      <c r="A55" s="1343" t="s">
        <v>172</v>
      </c>
      <c r="B55" s="1343" t="s">
        <v>173</v>
      </c>
      <c r="C55" s="1314"/>
      <c r="D55" s="1314"/>
      <c r="E55" s="2259"/>
      <c r="F55" s="2258"/>
      <c r="G55" s="1314"/>
      <c r="H55" s="1314"/>
      <c r="I55" s="1314"/>
      <c r="J55" s="1314"/>
      <c r="K55" s="1314"/>
      <c r="L55" s="1339"/>
      <c r="M55" s="1321"/>
      <c r="N55" s="1321"/>
      <c r="P55" s="1316"/>
      <c r="Q55" s="1317"/>
      <c r="R55" s="1316"/>
      <c r="S55" s="1322"/>
      <c r="T55" s="1325" t="s">
        <v>417</v>
      </c>
      <c r="U55" s="1324"/>
      <c r="V55" s="1324"/>
      <c r="W55" s="1324"/>
      <c r="X55" s="1324"/>
      <c r="Y55" s="1324"/>
      <c r="Z55" s="1324"/>
      <c r="AA55" s="1324"/>
      <c r="AB55" s="1324"/>
      <c r="AC55" s="1324"/>
      <c r="AD55" s="1324"/>
      <c r="AE55" s="1324"/>
      <c r="AF55" s="1324"/>
      <c r="AG55" s="1324"/>
      <c r="AH55" s="1324"/>
      <c r="AI55" s="1324"/>
      <c r="AJ55" s="1324"/>
      <c r="AK55" s="1324"/>
      <c r="AL55" s="1324"/>
      <c r="AM55" s="1324"/>
      <c r="AO55" s="789"/>
      <c r="AP55" s="789" t="str">
        <f>IF(T55="","",T55)</f>
        <v>Добавить централизованную систему для дифференциации</v>
      </c>
      <c r="AQ55" s="789"/>
      <c r="AR55" s="789"/>
      <c r="AS55" s="518">
        <v>1</v>
      </c>
    </row>
    <row s="1642" customFormat="1" customHeight="1" ht="1.05">
      <c r="A56" s="1343" t="s">
        <v>172</v>
      </c>
      <c r="B56" s="1343"/>
      <c r="C56" s="1343"/>
      <c r="D56" s="1343"/>
      <c r="E56" s="2258"/>
      <c r="F56" s="1343"/>
      <c r="G56" s="1343"/>
      <c r="H56" s="1343"/>
      <c r="I56" s="1343"/>
      <c r="J56" s="1343"/>
      <c r="K56" s="1343"/>
      <c r="L56" s="1346"/>
      <c r="M56" s="1321"/>
      <c r="N56" s="1321"/>
      <c r="O56" s="518"/>
      <c r="P56" s="380"/>
      <c r="Q56" s="1344"/>
      <c r="R56" s="380"/>
      <c r="S56" s="1322"/>
      <c r="T56" s="1325" t="s">
        <v>418</v>
      </c>
      <c r="U56" s="1324"/>
      <c r="V56" s="1324"/>
      <c r="W56" s="1324"/>
      <c r="X56" s="1324"/>
      <c r="Y56" s="1324"/>
      <c r="Z56" s="1324"/>
      <c r="AA56" s="1324"/>
      <c r="AB56" s="1324"/>
      <c r="AC56" s="1324"/>
      <c r="AD56" s="1324"/>
      <c r="AE56" s="1324"/>
      <c r="AF56" s="1324"/>
      <c r="AG56" s="1324"/>
      <c r="AH56" s="1324"/>
      <c r="AI56" s="1324"/>
      <c r="AJ56" s="1324"/>
      <c r="AK56" s="1324"/>
      <c r="AL56" s="1324"/>
      <c r="AM56" s="1324"/>
      <c r="AO56" s="500"/>
      <c r="AP56" s="500" t="str">
        <f>IF(T56="","",T56)</f>
        <v>Добавить территорию для дифференциации</v>
      </c>
      <c r="AQ56" s="500"/>
      <c r="AR56" s="500"/>
      <c r="AS56" s="511">
        <v>1</v>
      </c>
    </row>
    <row s="1642" customFormat="1" customHeight="1" ht="1.05">
      <c r="A57" s="1314"/>
      <c r="B57" s="1314"/>
      <c r="C57" s="1314"/>
      <c r="D57" s="1314"/>
      <c r="E57" s="1343"/>
      <c r="F57" s="1314"/>
      <c r="G57" s="1314"/>
      <c r="H57" s="1314"/>
      <c r="I57" s="1314"/>
      <c r="J57" s="1314"/>
      <c r="K57" s="1314"/>
      <c r="L57" s="1339"/>
      <c r="M57" s="1321"/>
      <c r="N57" s="1321"/>
      <c r="P57" s="1316"/>
      <c r="Q57" s="1317"/>
      <c r="R57" s="1316"/>
      <c r="S57" s="1322"/>
      <c r="T57" s="1325" t="s">
        <v>450</v>
      </c>
      <c r="U57" s="1324"/>
      <c r="V57" s="1324"/>
      <c r="W57" s="1324"/>
      <c r="X57" s="1324"/>
      <c r="Y57" s="1324"/>
      <c r="Z57" s="1324"/>
      <c r="AA57" s="1324"/>
      <c r="AB57" s="1324"/>
      <c r="AC57" s="1324"/>
      <c r="AD57" s="1324"/>
      <c r="AE57" s="1324"/>
      <c r="AF57" s="1324"/>
      <c r="AG57" s="1324"/>
      <c r="AH57" s="1324"/>
      <c r="AI57" s="1324"/>
      <c r="AJ57" s="1324"/>
      <c r="AK57" s="1324"/>
      <c r="AL57" s="1324"/>
      <c r="AM57" s="1324"/>
      <c r="AO57" s="789"/>
      <c r="AP57" s="789" t="str">
        <f>IF(T57="","",T57)</f>
        <v>Добавить наименование тарифа</v>
      </c>
      <c r="AQ57" s="789"/>
      <c r="AR57" s="789"/>
      <c r="AS57" s="518">
        <v>1</v>
      </c>
    </row>
    <row customHeight="1" ht="11.549999999999999">
      <c r="M58" s="1160"/>
      <c r="N58" s="1160"/>
      <c r="O58" s="537"/>
      <c r="P58" s="1155"/>
      <c r="Q58" s="1155"/>
      <c r="R58" s="1155"/>
      <c r="S58" s="1155"/>
      <c r="AN58" s="1155"/>
      <c r="AO58" s="1155"/>
      <c r="AP58" s="1155"/>
      <c r="AQ58" s="1155"/>
      <c r="AR58" s="1155"/>
      <c r="AS58" s="1155">
        <v>11</v>
      </c>
    </row>
    <row customHeight="1" ht="19.95">
      <c r="O59" s="537"/>
      <c r="S59" s="1253"/>
      <c r="T59" s="2285"/>
      <c r="U59" s="2285"/>
      <c r="V59" s="2285"/>
      <c r="W59" s="2285"/>
      <c r="X59" s="2285"/>
      <c r="Y59" s="2285"/>
      <c r="Z59" s="2285"/>
      <c r="AA59" s="2285"/>
      <c r="AB59" s="2285"/>
      <c r="AC59" s="2285"/>
      <c r="AD59" s="2285"/>
      <c r="AE59" s="2285"/>
      <c r="AF59" s="2285"/>
      <c r="AG59" s="2285"/>
      <c r="AH59" s="2285"/>
      <c r="AI59" s="2285"/>
      <c r="AJ59" s="2285"/>
      <c r="AK59" s="2285"/>
      <c r="AL59" s="2285"/>
      <c r="AM59" s="2285"/>
      <c r="AS59" s="1155">
        <v>19</v>
      </c>
    </row>
    <row customHeight="1" ht="29.25">
      <c r="O60" s="537"/>
      <c r="T60" s="2285"/>
      <c r="U60" s="2285"/>
      <c r="V60" s="2285"/>
      <c r="W60" s="2285"/>
      <c r="X60" s="2285"/>
      <c r="Y60" s="2285"/>
      <c r="Z60" s="2285"/>
      <c r="AA60" s="2285"/>
      <c r="AB60" s="2285"/>
      <c r="AC60" s="2285"/>
      <c r="AD60" s="2285"/>
      <c r="AE60" s="2285"/>
      <c r="AF60" s="2285"/>
      <c r="AG60" s="2285"/>
      <c r="AH60" s="2285"/>
      <c r="AI60" s="2285"/>
      <c r="AJ60" s="2285"/>
      <c r="AK60" s="2285"/>
      <c r="AL60" s="2285"/>
      <c r="AM60" s="2285"/>
      <c r="AS60" s="1155">
        <v>28</v>
      </c>
    </row>
    <row customHeight="1" ht="42">
      <c r="O61" s="537"/>
      <c r="T61" s="2285"/>
      <c r="U61" s="2285"/>
      <c r="V61" s="2285"/>
      <c r="W61" s="2285"/>
      <c r="X61" s="2285"/>
      <c r="Y61" s="2285"/>
      <c r="Z61" s="2285"/>
      <c r="AA61" s="2285"/>
      <c r="AB61" s="2285"/>
      <c r="AC61" s="2285"/>
      <c r="AD61" s="2285"/>
      <c r="AE61" s="2285"/>
      <c r="AF61" s="2285"/>
      <c r="AG61" s="2285"/>
      <c r="AH61" s="2285"/>
      <c r="AI61" s="2285"/>
      <c r="AJ61" s="2285"/>
      <c r="AK61" s="2285"/>
      <c r="AL61" s="2285"/>
      <c r="AM61" s="2285"/>
      <c r="AS61" s="1155">
        <v>40</v>
      </c>
    </row>
    <row customHeight="1" ht="14.699999999999998">
      <c r="O62" s="537"/>
      <c r="AS62" s="1155">
        <v>14</v>
      </c>
    </row>
    <row customHeight="1" ht="21">
      <c r="O63" s="537"/>
      <c r="S63" s="1253"/>
      <c r="T63" s="2299"/>
      <c r="U63" s="2285"/>
      <c r="V63" s="2285"/>
      <c r="W63" s="2285"/>
      <c r="X63" s="2285"/>
      <c r="Y63" s="2285"/>
      <c r="Z63" s="2285"/>
      <c r="AA63" s="2285"/>
      <c r="AB63" s="2285"/>
      <c r="AC63" s="2285"/>
      <c r="AD63" s="2285"/>
      <c r="AE63" s="2285"/>
      <c r="AF63" s="2285"/>
      <c r="AG63" s="2285"/>
      <c r="AH63" s="2285"/>
      <c r="AI63" s="2285"/>
      <c r="AJ63" s="2285"/>
      <c r="AK63" s="2285"/>
      <c r="AL63" s="2285"/>
      <c r="AM63" s="2285"/>
      <c r="AS63" s="1155">
        <v>20</v>
      </c>
    </row>
    <row customHeight="1" ht="29.25">
      <c r="O64" s="537"/>
      <c r="T64" s="2285"/>
      <c r="U64" s="2285"/>
      <c r="V64" s="2285"/>
      <c r="W64" s="2285"/>
      <c r="X64" s="2285"/>
      <c r="Y64" s="2285"/>
      <c r="Z64" s="2285"/>
      <c r="AA64" s="2285"/>
      <c r="AB64" s="2285"/>
      <c r="AC64" s="2285"/>
      <c r="AD64" s="2285"/>
      <c r="AE64" s="2285"/>
      <c r="AF64" s="2285"/>
      <c r="AG64" s="2285"/>
      <c r="AH64" s="2285"/>
      <c r="AI64" s="2285"/>
      <c r="AJ64" s="2285"/>
      <c r="AK64" s="2285"/>
      <c r="AL64" s="2285"/>
      <c r="AM64" s="2285"/>
      <c r="AS64" s="1155">
        <v>28</v>
      </c>
    </row>
    <row customHeight="1" ht="35.699999999999996">
      <c r="T65" s="2285"/>
      <c r="U65" s="2285"/>
      <c r="V65" s="2285"/>
      <c r="W65" s="2285"/>
      <c r="X65" s="2285"/>
      <c r="Y65" s="2285"/>
      <c r="Z65" s="2285"/>
      <c r="AA65" s="2285"/>
      <c r="AB65" s="2285"/>
      <c r="AC65" s="2285"/>
      <c r="AD65" s="2285"/>
      <c r="AE65" s="2285"/>
      <c r="AF65" s="2285"/>
      <c r="AG65" s="2285"/>
      <c r="AH65" s="2285"/>
      <c r="AI65" s="2285"/>
      <c r="AJ65" s="2285"/>
      <c r="AK65" s="2285"/>
      <c r="AL65" s="2285"/>
      <c r="AM65" s="2285"/>
      <c r="AS65" s="1155">
        <v>34</v>
      </c>
    </row>
    <row customHeight="1" ht="22.5" hidden="1">
      <c r="A66" s="1160" t="s">
        <v>82</v>
      </c>
      <c r="B66" s="1160">
        <v>0</v>
      </c>
      <c r="C66" s="1160">
        <v>0</v>
      </c>
      <c r="D66" s="1160">
        <v>0</v>
      </c>
      <c r="E66" s="1160">
        <v>0</v>
      </c>
      <c r="F66" s="1160">
        <v>0</v>
      </c>
      <c r="G66" s="1160">
        <v>0</v>
      </c>
      <c r="H66" s="1160">
        <v>0</v>
      </c>
      <c r="I66" s="1160">
        <v>0</v>
      </c>
      <c r="J66" s="1160">
        <v>0</v>
      </c>
      <c r="K66" s="1160">
        <v>0</v>
      </c>
      <c r="L66" s="1329">
        <v>0</v>
      </c>
      <c r="M66" s="1362">
        <v>0</v>
      </c>
      <c r="N66" s="1362">
        <v>0</v>
      </c>
      <c r="O66" s="1362">
        <v>0</v>
      </c>
      <c r="P66" s="1328">
        <v>0</v>
      </c>
      <c r="Q66" s="344">
        <v>3</v>
      </c>
      <c r="R66" s="344">
        <v>3</v>
      </c>
      <c r="S66" s="581">
        <v>12</v>
      </c>
      <c r="T66" s="1155">
        <v>31</v>
      </c>
      <c r="U66" s="1155">
        <v>0</v>
      </c>
      <c r="V66" s="1155">
        <v>0</v>
      </c>
      <c r="W66" s="1155">
        <v>0</v>
      </c>
      <c r="X66" s="1155">
        <v>0</v>
      </c>
      <c r="Y66" s="1155">
        <v>0</v>
      </c>
      <c r="Z66" s="1155">
        <v>0</v>
      </c>
      <c r="AA66" s="1155">
        <v>0</v>
      </c>
      <c r="AB66" s="1155">
        <v>0</v>
      </c>
      <c r="AC66" s="1155">
        <v>0</v>
      </c>
      <c r="AD66" s="1155">
        <v>24</v>
      </c>
      <c r="AE66" s="1155">
        <v>0</v>
      </c>
      <c r="AF66" s="1155">
        <v>24</v>
      </c>
      <c r="AG66" s="1155">
        <v>24</v>
      </c>
      <c r="AH66" s="1155">
        <v>11</v>
      </c>
      <c r="AI66" s="1155">
        <v>3</v>
      </c>
      <c r="AJ66" s="1155">
        <v>11</v>
      </c>
      <c r="AK66" s="1155">
        <v>0</v>
      </c>
      <c r="AL66" s="1155">
        <v>4</v>
      </c>
      <c r="AM66" s="1155">
        <v>115</v>
      </c>
      <c r="AN66" s="511">
        <v>10</v>
      </c>
      <c r="AO66" s="511">
        <v>10</v>
      </c>
      <c r="AP66" s="511">
        <v>10</v>
      </c>
      <c r="AQ66" s="511">
        <v>10</v>
      </c>
      <c r="AR66" s="511">
        <v>10</v>
      </c>
      <c r="AS66" s="1155">
        <v>23</v>
      </c>
    </row>
  </sheetData>
  <sheetProtection formatColumns="0" formatRows="0" autoFilter="0" sort="0" insertRows="0" insertColumns="1" deleteRows="0" deleteColumns="0"/>
  <mergeCells count="113">
    <mergeCell ref="T64:AM64"/>
    <mergeCell ref="T65:AM65"/>
    <mergeCell ref="S35:T35"/>
    <mergeCell ref="V35:AB35"/>
    <mergeCell ref="AD35:AJ35"/>
    <mergeCell ref="S34:T34"/>
    <mergeCell ref="V34:AB34"/>
    <mergeCell ref="AD34:AJ34"/>
    <mergeCell ref="V2:AC2"/>
    <mergeCell ref="AD2:AL2"/>
    <mergeCell ref="V3:AC3"/>
    <mergeCell ref="AD3:AL3"/>
    <mergeCell ref="V4:AC4"/>
    <mergeCell ref="AD4:AL4"/>
    <mergeCell ref="V5:AC5"/>
    <mergeCell ref="AD5:AL5"/>
    <mergeCell ref="V6:AC6"/>
    <mergeCell ref="AD6:AL6"/>
    <mergeCell ref="V7:AC7"/>
    <mergeCell ref="AD7:AL7"/>
    <mergeCell ref="T63:AM63"/>
    <mergeCell ref="T61:AM61"/>
    <mergeCell ref="AJ49:AJ50"/>
    <mergeCell ref="AK49:AK50"/>
    <mergeCell ref="AM49:AM51"/>
    <mergeCell ref="T59:AM59"/>
    <mergeCell ref="T60:AM60"/>
    <mergeCell ref="AA42:AB42"/>
    <mergeCell ref="AI42:AJ42"/>
    <mergeCell ref="E43:E56"/>
    <mergeCell ref="V43:AC43"/>
    <mergeCell ref="AD43:AL43"/>
    <mergeCell ref="F44:F55"/>
    <mergeCell ref="V44:AC44"/>
    <mergeCell ref="AD44:AL44"/>
    <mergeCell ref="G45:G54"/>
    <mergeCell ref="V45:AC45"/>
    <mergeCell ref="AD45:AL45"/>
    <mergeCell ref="H46:H53"/>
    <mergeCell ref="V46:AC46"/>
    <mergeCell ref="AD46:AL46"/>
    <mergeCell ref="P47:P52"/>
    <mergeCell ref="J48:J51"/>
    <mergeCell ref="Q48:Q51"/>
    <mergeCell ref="V48:AC48"/>
    <mergeCell ref="AD48:AL48"/>
    <mergeCell ref="K49:K50"/>
    <mergeCell ref="Z49:Z50"/>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M8:AM10"/>
    <mergeCell ref="AH17:AH18"/>
    <mergeCell ref="AI17:AI18"/>
    <mergeCell ref="AJ17:AJ18"/>
    <mergeCell ref="AK17:AK18"/>
    <mergeCell ref="Z8:Z9"/>
    <mergeCell ref="AA8:AA9"/>
    <mergeCell ref="S29:T29"/>
    <mergeCell ref="S30:T30"/>
    <mergeCell ref="V29:AB29"/>
    <mergeCell ref="AD29:AJ29"/>
    <mergeCell ref="V30:AB30"/>
    <mergeCell ref="AD30:AJ30"/>
    <mergeCell ref="AH8:AH9"/>
    <mergeCell ref="AI8:AI9"/>
    <mergeCell ref="AJ8:AJ9"/>
    <mergeCell ref="AK8:AK9"/>
    <mergeCell ref="AB8:AB9"/>
    <mergeCell ref="AC8:AC9"/>
    <mergeCell ref="I47:I52"/>
    <mergeCell ref="V32:AB32"/>
    <mergeCell ref="E2:E15"/>
    <mergeCell ref="F3:F14"/>
    <mergeCell ref="G4:G13"/>
    <mergeCell ref="H5:H12"/>
    <mergeCell ref="I6:I11"/>
    <mergeCell ref="P6:P11"/>
    <mergeCell ref="J7:J10"/>
    <mergeCell ref="Q7:Q10"/>
    <mergeCell ref="K8:K9"/>
    <mergeCell ref="S31:T31"/>
    <mergeCell ref="V31:AB31"/>
    <mergeCell ref="S32:T32"/>
    <mergeCell ref="AA41:AB41"/>
    <mergeCell ref="V37:AC37"/>
    <mergeCell ref="S38:AL38"/>
    <mergeCell ref="S26:AJ26"/>
    <mergeCell ref="S27:AJ27"/>
    <mergeCell ref="AC49:AC50"/>
    <mergeCell ref="AA49:AA50"/>
    <mergeCell ref="AB49:AB50"/>
    <mergeCell ref="AH49:AH50"/>
    <mergeCell ref="AI49:AI50"/>
    <mergeCell ref="V47:AC47"/>
    <mergeCell ref="AD47:AL47"/>
    <mergeCell ref="AD31:AJ31"/>
    <mergeCell ref="AD32:AJ32"/>
    <mergeCell ref="AE40:AE41"/>
    <mergeCell ref="AF40:AG40"/>
    <mergeCell ref="AH40:AJ40"/>
    <mergeCell ref="AI41:AJ41"/>
    <mergeCell ref="AD37:AK37"/>
  </mergeCells>
  <dataValidations count="8">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93265 AK49 AK524337 AK8 AK589873 AK655409 AK17 AK720945 AK786481 AK852017 AK917553 AK983089 AK65585 AK131121 AK458801 AI49 AK196657 AI8 AC8 AA8 AI17 AK262193 AA49 AC49 AK327729"/>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4CA22BB-8534-7344-A7A5-6AD31E71D7A3}" mc:Ignorable="x14ac xr xr2 xr3">
  <sheetPr>
    <tabColor theme="6" tint="0.4"/>
  </sheetPr>
  <dimension ref="A1:AS66"/>
  <sheetViews>
    <sheetView showGridLines="0" zoomScale="90" workbookViewId="0">
      <pane xSplit="29" ySplit="42" topLeftCell="AD43" activePane="bottomRight" state="frozen"/>
      <selection pane="bottomLeft" activeCell="A43" sqref="A43"/>
      <selection pane="topRight" activeCell="AD1" sqref="AD1"/>
      <selection pane="bottomRight" activeCell="A1" sqref="A1"/>
    </sheetView>
  </sheetViews>
  <sheetFormatPr defaultColWidth="10.57421875" customHeight="1" defaultRowHeight="14.25"/>
  <cols>
    <col min="1" max="1" style="1366" width="10.57421875" hidden="1"/>
    <col min="2" max="2" style="1366" width="11.00390625" hidden="1" customWidth="1"/>
    <col min="3" max="3" style="1366" width="10.57421875" hidden="1"/>
    <col min="4" max="4" style="1366" width="11.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2.00390625" hidden="1" customWidth="1"/>
    <col min="10" max="10" style="1366" width="9.8515625" hidden="1" customWidth="1"/>
    <col min="11" max="11" style="1366" width="11.421875" hidden="1" customWidth="1"/>
    <col min="12" max="12" style="2607" width="19.140625" hidden="1" customWidth="1"/>
    <col min="13" max="14" style="1776" width="12.28125" hidden="1" customWidth="1"/>
    <col min="15" max="15" style="1776" width="23.421875" hidden="1" customWidth="1"/>
    <col min="16" max="16" style="2397" width="3.7109375" hidden="1" customWidth="1"/>
    <col min="17" max="18" style="344" width="3.00390625" customWidth="1"/>
    <col min="19" max="19" style="2407" width="12.00390625" customWidth="1"/>
    <col min="20" max="20" style="1635" width="31.00390625" customWidth="1"/>
    <col min="21" max="21" style="1635" width="0.140625" customWidth="1"/>
    <col min="22" max="22" style="1635" width="24.7109375" hidden="1" customWidth="1"/>
    <col min="23" max="23" style="1635" width="0.140625" hidden="1" customWidth="1"/>
    <col min="24" max="25" style="1635" width="24.7109375" hidden="1" customWidth="1"/>
    <col min="26" max="26" style="1635" width="11.7109375" hidden="1" customWidth="1"/>
    <col min="27" max="27" style="1635" width="3.7109375" hidden="1" customWidth="1"/>
    <col min="28" max="28" style="1635" width="11.7109375" hidden="1" customWidth="1"/>
    <col min="29" max="29" style="1635" width="8.57421875" hidden="1" customWidth="1"/>
    <col min="30" max="30" style="1635" width="24.7109375" customWidth="1"/>
    <col min="31" max="31" style="1635" width="0.140625" customWidth="1"/>
    <col min="32" max="33" style="1635" width="24.00390625" customWidth="1"/>
    <col min="34" max="34" style="1635" width="11.00390625" customWidth="1"/>
    <col min="35" max="35" style="1635" width="3.7109375" customWidth="1"/>
    <col min="36" max="36" style="1635" width="11.00390625" customWidth="1"/>
    <col min="37" max="37" style="1635" width="8.57421875" hidden="1" customWidth="1"/>
    <col min="38" max="38" style="1635" width="4.00390625" customWidth="1"/>
    <col min="39" max="39" style="1635" width="115.00390625" customWidth="1"/>
    <col min="40" max="44" style="1642" width="10.00390625" customWidth="1"/>
    <col min="45" max="45" style="1635" width="10.57421875" hidden="1"/>
  </cols>
  <sheetData>
    <row customHeight="1" ht="22.5" hidden="1">
      <c r="A1" s="1871"/>
      <c r="Y1" s="327"/>
      <c r="Z1" s="327"/>
      <c r="AG1" s="327"/>
      <c r="AH1" s="327"/>
      <c r="AS1" s="1155" t="s">
        <v>14</v>
      </c>
    </row>
    <row customHeight="1" ht="21" hidden="1">
      <c r="A2" s="1363"/>
      <c r="B2" s="1363"/>
      <c r="C2" s="1363"/>
      <c r="D2" s="1363"/>
      <c r="E2" s="2258">
        <v>1</v>
      </c>
      <c r="F2" s="1363"/>
      <c r="G2" s="1363"/>
      <c r="H2" s="1363"/>
      <c r="I2" s="1363"/>
      <c r="J2" s="1363"/>
      <c r="K2" s="1363"/>
      <c r="L2" s="1364"/>
      <c r="M2" s="1365"/>
      <c r="N2" s="1365"/>
      <c r="O2" s="1365"/>
      <c r="P2" s="361"/>
      <c r="Q2" s="360"/>
      <c r="R2" s="355"/>
      <c r="S2" s="1336">
        <f>INDEX(PT_DIFFERENTIATION_NUM_NTAR,MATCH(A2,PT_DIFFERENTIATION_NTAR_ID,0))</f>
      </c>
      <c r="T2" s="298" t="s">
        <v>127</v>
      </c>
      <c r="U2" s="300"/>
      <c r="V2" s="2242"/>
      <c r="W2" s="2243"/>
      <c r="X2" s="2243"/>
      <c r="Y2" s="2243"/>
      <c r="Z2" s="2243"/>
      <c r="AA2" s="2243"/>
      <c r="AB2" s="2243"/>
      <c r="AC2" s="2244"/>
      <c r="AD2" s="2242">
        <f>INDEX(PT_DIFFERENTIATION_NTAR,MATCH(A2,PT_DIFFERENTIATION_NTAR_ID,0))</f>
      </c>
      <c r="AE2" s="2243"/>
      <c r="AF2" s="2243"/>
      <c r="AG2" s="2243"/>
      <c r="AH2" s="2243"/>
      <c r="AI2" s="2243"/>
      <c r="AJ2" s="2243"/>
      <c r="AK2" s="2243"/>
      <c r="AL2" s="2244"/>
      <c r="AM2" s="1258" t="s">
        <v>398</v>
      </c>
      <c r="AO2" s="500"/>
      <c r="AP2" s="500" t="str">
        <f>IF(T2="","",T2)</f>
        <v>Наименование тарифа</v>
      </c>
      <c r="AQ2" s="500"/>
      <c r="AR2" s="500"/>
      <c r="AS2" s="1155">
        <v>0</v>
      </c>
    </row>
    <row customHeight="1" ht="21" hidden="1">
      <c r="A3" s="1363"/>
      <c r="B3" s="1363"/>
      <c r="C3" s="1363"/>
      <c r="D3" s="1363"/>
      <c r="E3" s="2259"/>
      <c r="F3" s="2258">
        <v>1</v>
      </c>
      <c r="G3" s="1363"/>
      <c r="H3" s="1363"/>
      <c r="I3" s="1363"/>
      <c r="J3" s="1363"/>
      <c r="K3" s="1363"/>
      <c r="L3" s="1364"/>
      <c r="M3" s="1365"/>
      <c r="N3" s="1365"/>
      <c r="O3" s="1365"/>
      <c r="P3" s="1332"/>
      <c r="Q3" s="352"/>
      <c r="R3" s="353"/>
      <c r="S3" s="1336">
        <f>INDEX(PT_DIFFERENTIATION_NUM_TER,MATCH(B3,PT_DIFFERENTIATION_TER_ID,0))</f>
      </c>
      <c r="T3" s="308" t="s">
        <v>399</v>
      </c>
      <c r="U3" s="300"/>
      <c r="V3" s="2242"/>
      <c r="W3" s="2243"/>
      <c r="X3" s="2243"/>
      <c r="Y3" s="2243"/>
      <c r="Z3" s="2243"/>
      <c r="AA3" s="2243"/>
      <c r="AB3" s="2243"/>
      <c r="AC3" s="2244"/>
      <c r="AD3" s="2242">
        <f>INDEX(PT_DIFFERENTIATION_TER,MATCH(B3,PT_DIFFERENTIATION_TER_ID,0))</f>
      </c>
      <c r="AE3" s="2243"/>
      <c r="AF3" s="2243"/>
      <c r="AG3" s="2243"/>
      <c r="AH3" s="2243"/>
      <c r="AI3" s="2243"/>
      <c r="AJ3" s="2243"/>
      <c r="AK3" s="2243"/>
      <c r="AL3" s="2244"/>
      <c r="AM3" s="1258" t="s">
        <v>400</v>
      </c>
      <c r="AO3" s="500"/>
      <c r="AP3" s="500" t="str">
        <f>IF(T3="","",T3)</f>
        <v>Территория действия тарифа</v>
      </c>
      <c r="AQ3" s="500"/>
      <c r="AR3" s="500"/>
      <c r="AS3" s="1155">
        <v>0</v>
      </c>
    </row>
    <row customHeight="1" ht="23.25" hidden="1">
      <c r="A4" s="1363"/>
      <c r="B4" s="1363"/>
      <c r="C4" s="1363"/>
      <c r="D4" s="1363"/>
      <c r="E4" s="2259"/>
      <c r="F4" s="2259"/>
      <c r="G4" s="2258">
        <v>1</v>
      </c>
      <c r="H4" s="1363"/>
      <c r="I4" s="1363"/>
      <c r="J4" s="1363"/>
      <c r="K4" s="1363"/>
      <c r="L4" s="1364"/>
      <c r="M4" s="1365"/>
      <c r="N4" s="1365"/>
      <c r="O4" s="1365"/>
      <c r="P4" s="354"/>
      <c r="Q4" s="352"/>
      <c r="R4" s="353"/>
      <c r="S4" s="2008">
        <f>INDEX(PT_DIFFERENTIATION_NUM_CS,MATCH(C4,PT_DIFFERENTIATION_CS_ID,0))</f>
      </c>
      <c r="T4" s="2012" t="s">
        <v>401</v>
      </c>
      <c r="U4" s="2013"/>
      <c r="V4" s="2300"/>
      <c r="W4" s="2301"/>
      <c r="X4" s="2301"/>
      <c r="Y4" s="2301"/>
      <c r="Z4" s="2301"/>
      <c r="AA4" s="2301"/>
      <c r="AB4" s="2301"/>
      <c r="AC4" s="2302"/>
      <c r="AD4" s="2300">
        <f>INDEX(PT_DIFFERENTIATION_CS,MATCH(C4,PT_DIFFERENTIATION_CS_ID,0))</f>
      </c>
      <c r="AE4" s="2301"/>
      <c r="AF4" s="2301"/>
      <c r="AG4" s="2301"/>
      <c r="AH4" s="2301"/>
      <c r="AI4" s="2301"/>
      <c r="AJ4" s="2301"/>
      <c r="AK4" s="2301"/>
      <c r="AL4" s="2302"/>
      <c r="AM4" s="1258" t="s">
        <v>402</v>
      </c>
      <c r="AO4" s="500"/>
      <c r="AP4" s="500" t="str">
        <f>IF(T4="","",T4)</f>
        <v>Наименование системы теплоснабжения </v>
      </c>
      <c r="AQ4" s="500"/>
      <c r="AR4" s="500"/>
      <c r="AS4" s="1155">
        <v>0</v>
      </c>
    </row>
    <row customHeight="1" ht="21" hidden="1">
      <c r="A5" s="1363"/>
      <c r="B5" s="1363"/>
      <c r="C5" s="1363"/>
      <c r="D5" s="1363"/>
      <c r="E5" s="2259"/>
      <c r="F5" s="2259"/>
      <c r="G5" s="2259"/>
      <c r="H5" s="2258">
        <v>1</v>
      </c>
      <c r="I5" s="1363"/>
      <c r="J5" s="1363"/>
      <c r="K5" s="1363"/>
      <c r="L5" s="1364"/>
      <c r="M5" s="1365"/>
      <c r="N5" s="1365"/>
      <c r="O5" s="1365"/>
      <c r="P5" s="354"/>
      <c r="Q5" s="352"/>
      <c r="R5" s="1635"/>
      <c r="S5" s="2007">
        <f>INDEX(PT_DIFFERENTIATION_NUM_IST_TE,MATCH(D5,PT_DIFFERENTIATION_IST_TE_ID,0))</f>
      </c>
      <c r="T5" s="310" t="s">
        <v>403</v>
      </c>
      <c r="U5" s="300"/>
      <c r="V5" s="2303"/>
      <c r="W5" s="2303"/>
      <c r="X5" s="2303"/>
      <c r="Y5" s="2303"/>
      <c r="Z5" s="2303"/>
      <c r="AA5" s="2303"/>
      <c r="AB5" s="2303"/>
      <c r="AC5" s="2303"/>
      <c r="AD5" s="2303">
        <f>INDEX(PT_DIFFERENTIATION_IST_TE,MATCH(D5,PT_DIFFERENTIATION_IST_TE_ID,0))</f>
      </c>
      <c r="AE5" s="2303"/>
      <c r="AF5" s="2303"/>
      <c r="AG5" s="2303"/>
      <c r="AH5" s="2303"/>
      <c r="AI5" s="2303"/>
      <c r="AJ5" s="2303"/>
      <c r="AK5" s="2303"/>
      <c r="AL5" s="2303"/>
      <c r="AM5" s="2010" t="s">
        <v>404</v>
      </c>
      <c r="AO5" s="500"/>
      <c r="AP5" s="500" t="str">
        <f>IF(T5="","",T5)</f>
        <v>Источник тепловой энергии  </v>
      </c>
      <c r="AQ5" s="500"/>
      <c r="AR5" s="500"/>
      <c r="AS5" s="1155">
        <v>0</v>
      </c>
    </row>
    <row customHeight="1" ht="0.75" hidden="1">
      <c r="A6" s="1363"/>
      <c r="B6" s="1363"/>
      <c r="C6" s="1363"/>
      <c r="D6" s="1363"/>
      <c r="E6" s="2259"/>
      <c r="F6" s="2259"/>
      <c r="G6" s="2259"/>
      <c r="H6" s="2259"/>
      <c r="I6" s="2256">
        <f>S5&amp;".1"</f>
      </c>
      <c r="J6" s="1363"/>
      <c r="K6" s="1363"/>
      <c r="L6" s="1364" t="s">
        <v>405</v>
      </c>
      <c r="M6" s="537"/>
      <c r="P6" s="2257">
        <v>1</v>
      </c>
      <c r="Q6" s="1331"/>
      <c r="R6" s="2006"/>
      <c r="S6" s="1042"/>
      <c r="T6" s="1383"/>
      <c r="U6" s="1384"/>
      <c r="V6" s="2304"/>
      <c r="W6" s="2304"/>
      <c r="X6" s="2304"/>
      <c r="Y6" s="2304"/>
      <c r="Z6" s="2304"/>
      <c r="AA6" s="2304"/>
      <c r="AB6" s="2304"/>
      <c r="AC6" s="2304"/>
      <c r="AD6" s="2304"/>
      <c r="AE6" s="2304"/>
      <c r="AF6" s="2304"/>
      <c r="AG6" s="2304"/>
      <c r="AH6" s="2304"/>
      <c r="AI6" s="2304"/>
      <c r="AJ6" s="2304"/>
      <c r="AK6" s="2304"/>
      <c r="AL6" s="2304"/>
      <c r="AM6" s="2011"/>
      <c r="AO6" s="500"/>
      <c r="AP6" s="500" t="str">
        <f>IF(T6="","",T6)</f>
        <v/>
      </c>
      <c r="AQ6" s="500"/>
      <c r="AR6" s="500"/>
      <c r="AS6" s="1155">
        <v>0</v>
      </c>
    </row>
    <row customHeight="1" ht="84" hidden="1">
      <c r="A7" s="1363"/>
      <c r="B7" s="1363"/>
      <c r="C7" s="1363"/>
      <c r="D7" s="1363"/>
      <c r="E7" s="2259"/>
      <c r="F7" s="2259"/>
      <c r="G7" s="2259"/>
      <c r="H7" s="2259"/>
      <c r="I7" s="2286"/>
      <c r="J7" s="2256">
        <f>I6&amp;".1"</f>
      </c>
      <c r="K7" s="1363"/>
      <c r="L7" s="1364" t="s">
        <v>408</v>
      </c>
      <c r="M7" s="537"/>
      <c r="N7" s="1366"/>
      <c r="P7" s="2257"/>
      <c r="Q7" s="2257">
        <v>1</v>
      </c>
      <c r="R7" s="1642"/>
      <c r="S7" s="2007">
        <f>$J7</f>
      </c>
      <c r="T7" s="286" t="s">
        <v>409</v>
      </c>
      <c r="U7" s="300"/>
      <c r="V7" s="2305"/>
      <c r="W7" s="2305"/>
      <c r="X7" s="2305"/>
      <c r="Y7" s="2305"/>
      <c r="Z7" s="2305"/>
      <c r="AA7" s="2305"/>
      <c r="AB7" s="2305"/>
      <c r="AC7" s="2305"/>
      <c r="AD7" s="2305"/>
      <c r="AE7" s="2305"/>
      <c r="AF7" s="2305"/>
      <c r="AG7" s="2305"/>
      <c r="AH7" s="2305"/>
      <c r="AI7" s="2305"/>
      <c r="AJ7" s="2305"/>
      <c r="AK7" s="2305"/>
      <c r="AL7" s="2305"/>
      <c r="AM7" s="2010" t="s">
        <v>410</v>
      </c>
      <c r="AO7" s="500"/>
      <c r="AP7" s="500" t="str">
        <f>IF(T7="","",T7)</f>
        <v>Группа потребителей</v>
      </c>
      <c r="AQ7" s="500"/>
      <c r="AR7" s="500"/>
      <c r="AS7" s="1155">
        <v>0</v>
      </c>
    </row>
    <row customHeight="1" ht="11.25" hidden="1">
      <c r="A8" s="1363"/>
      <c r="B8" s="1363"/>
      <c r="C8" s="1363"/>
      <c r="D8" s="1363"/>
      <c r="E8" s="2259"/>
      <c r="F8" s="2259"/>
      <c r="G8" s="2259"/>
      <c r="H8" s="2259"/>
      <c r="I8" s="2286"/>
      <c r="J8" s="2286"/>
      <c r="K8" s="2256">
        <f>J7&amp;".1"</f>
      </c>
      <c r="L8" s="1364" t="s">
        <v>411</v>
      </c>
      <c r="M8" s="537"/>
      <c r="N8" s="1366"/>
      <c r="O8" s="1366"/>
      <c r="P8" s="2257"/>
      <c r="Q8" s="2257"/>
      <c r="R8" s="357">
        <v>1</v>
      </c>
      <c r="S8" s="2009">
        <f>$K8</f>
      </c>
      <c r="T8" s="2014"/>
      <c r="U8" s="2015"/>
      <c r="V8" s="2016"/>
      <c r="W8" s="1349"/>
      <c r="X8" s="2016"/>
      <c r="Y8" s="2017"/>
      <c r="Z8" s="2306"/>
      <c r="AA8" s="2112" t="s">
        <v>66</v>
      </c>
      <c r="AB8" s="2306"/>
      <c r="AC8" s="2112" t="s">
        <v>66</v>
      </c>
      <c r="AD8" s="2016"/>
      <c r="AE8" s="1349"/>
      <c r="AF8" s="2016"/>
      <c r="AG8" s="2017"/>
      <c r="AH8" s="2306"/>
      <c r="AI8" s="2112" t="s">
        <v>66</v>
      </c>
      <c r="AJ8" s="2306"/>
      <c r="AK8" s="2112" t="s">
        <v>66</v>
      </c>
      <c r="AL8" s="1349"/>
      <c r="AM8" s="2253" t="s">
        <v>412</v>
      </c>
      <c r="AN8" s="511">
        <f>STRCHECKDATE(V9:AL9)</f>
      </c>
      <c r="AO8" s="500"/>
      <c r="AP8" s="500" t="str">
        <f>IF(T8="","",T8)</f>
        <v/>
      </c>
      <c r="AQ8" s="500"/>
      <c r="AR8" s="500"/>
      <c r="AS8" s="1155">
        <v>0</v>
      </c>
    </row>
    <row customHeight="1" ht="0.75" hidden="1">
      <c r="A9" s="1363"/>
      <c r="B9" s="1363"/>
      <c r="C9" s="1363"/>
      <c r="D9" s="1363"/>
      <c r="E9" s="2259"/>
      <c r="F9" s="2259"/>
      <c r="G9" s="2259"/>
      <c r="H9" s="2259"/>
      <c r="I9" s="2286"/>
      <c r="J9" s="2286"/>
      <c r="K9" s="2256"/>
      <c r="L9" s="1364"/>
      <c r="M9" s="537"/>
      <c r="N9" s="1366"/>
      <c r="O9" s="1366"/>
      <c r="P9" s="2257"/>
      <c r="Q9" s="2257"/>
      <c r="R9" s="357"/>
      <c r="S9" s="1342"/>
      <c r="T9" s="300"/>
      <c r="U9" s="300"/>
      <c r="V9" s="325"/>
      <c r="W9" s="325"/>
      <c r="X9" s="325"/>
      <c r="Y9" s="328" t="str">
        <f>Z8&amp;"-"&amp;AB8</f>
        <v>-</v>
      </c>
      <c r="Z9" s="2266"/>
      <c r="AA9" s="2107"/>
      <c r="AB9" s="2266"/>
      <c r="AC9" s="2107"/>
      <c r="AD9" s="325"/>
      <c r="AE9" s="325"/>
      <c r="AF9" s="325"/>
      <c r="AG9" s="328" t="str">
        <f>AH8&amp;"-"&amp;AJ8</f>
        <v>-</v>
      </c>
      <c r="AH9" s="2266"/>
      <c r="AI9" s="2107"/>
      <c r="AJ9" s="2266"/>
      <c r="AK9" s="2107"/>
      <c r="AL9" s="325"/>
      <c r="AM9" s="2254"/>
      <c r="AO9" s="500"/>
      <c r="AP9" s="500" t="str">
        <f>IF(T9="","",T9)</f>
        <v/>
      </c>
      <c r="AQ9" s="500"/>
      <c r="AR9" s="500"/>
      <c r="AS9" s="1155">
        <v>0</v>
      </c>
    </row>
    <row customHeight="1" ht="11.25" hidden="1">
      <c r="A10" s="1363"/>
      <c r="B10" s="1363"/>
      <c r="C10" s="1363"/>
      <c r="D10" s="1363"/>
      <c r="E10" s="2259"/>
      <c r="F10" s="2259"/>
      <c r="G10" s="2259"/>
      <c r="H10" s="2259"/>
      <c r="I10" s="2286"/>
      <c r="J10" s="2256"/>
      <c r="K10" s="1363"/>
      <c r="L10" s="1364"/>
      <c r="M10" s="537"/>
      <c r="N10" s="1366"/>
      <c r="P10" s="2257"/>
      <c r="Q10" s="2257"/>
      <c r="R10" s="356"/>
      <c r="S10" s="1278"/>
      <c r="T10" s="287" t="s">
        <v>413</v>
      </c>
      <c r="U10" s="367"/>
      <c r="V10" s="367"/>
      <c r="W10" s="367"/>
      <c r="X10" s="367"/>
      <c r="Y10" s="367"/>
      <c r="Z10" s="367"/>
      <c r="AA10" s="367"/>
      <c r="AB10" s="367"/>
      <c r="AC10" s="367"/>
      <c r="AD10" s="367"/>
      <c r="AE10" s="367"/>
      <c r="AF10" s="367"/>
      <c r="AG10" s="367"/>
      <c r="AH10" s="367"/>
      <c r="AI10" s="367"/>
      <c r="AJ10" s="367"/>
      <c r="AK10" s="367"/>
      <c r="AL10" s="324"/>
      <c r="AM10" s="2255"/>
      <c r="AO10" s="500"/>
      <c r="AP10" s="500" t="str">
        <f>IF(T10="","",T10)</f>
        <v>Добавить вид теплоносителя (параметры теплоносителя)</v>
      </c>
      <c r="AQ10" s="500"/>
      <c r="AR10" s="500"/>
      <c r="AS10" s="1155">
        <v>0</v>
      </c>
    </row>
    <row customHeight="1" ht="11.25" hidden="1">
      <c r="A11" s="1363"/>
      <c r="B11" s="1363"/>
      <c r="C11" s="1363"/>
      <c r="D11" s="1363"/>
      <c r="E11" s="2259"/>
      <c r="F11" s="2259"/>
      <c r="G11" s="2259"/>
      <c r="H11" s="2259"/>
      <c r="I11" s="2256"/>
      <c r="J11" s="1363"/>
      <c r="K11" s="1363"/>
      <c r="L11" s="1364"/>
      <c r="M11" s="537"/>
      <c r="P11" s="2257"/>
      <c r="Q11" s="1331"/>
      <c r="R11" s="356"/>
      <c r="S11" s="1278"/>
      <c r="T11" s="365" t="s">
        <v>414</v>
      </c>
      <c r="U11" s="367"/>
      <c r="V11" s="367"/>
      <c r="W11" s="367"/>
      <c r="X11" s="367"/>
      <c r="Y11" s="367"/>
      <c r="Z11" s="367"/>
      <c r="AA11" s="367"/>
      <c r="AB11" s="367"/>
      <c r="AC11" s="366"/>
      <c r="AD11" s="367"/>
      <c r="AE11" s="367"/>
      <c r="AF11" s="367"/>
      <c r="AG11" s="367"/>
      <c r="AH11" s="367"/>
      <c r="AI11" s="367"/>
      <c r="AJ11" s="367"/>
      <c r="AK11" s="366"/>
      <c r="AL11" s="367"/>
      <c r="AM11" s="303"/>
      <c r="AO11" s="500"/>
      <c r="AP11" s="500" t="str">
        <f>IF(T11="","",T11)</f>
        <v>Добавить группу потребителей</v>
      </c>
      <c r="AQ11" s="500"/>
      <c r="AR11" s="500"/>
      <c r="AS11" s="1155">
        <v>0</v>
      </c>
    </row>
    <row customHeight="1" ht="0.75" hidden="1">
      <c r="A12" s="1363"/>
      <c r="B12" s="1363"/>
      <c r="C12" s="1363"/>
      <c r="D12" s="1363"/>
      <c r="E12" s="2259"/>
      <c r="F12" s="2259"/>
      <c r="G12" s="2259"/>
      <c r="H12" s="2258"/>
      <c r="I12" s="1363"/>
      <c r="J12" s="1363"/>
      <c r="K12" s="1363"/>
      <c r="L12" s="1364"/>
      <c r="M12" s="1365"/>
      <c r="N12" s="1365"/>
      <c r="O12" s="537"/>
      <c r="P12" s="360"/>
      <c r="Q12" s="375"/>
      <c r="R12" s="355"/>
      <c r="S12" s="1386"/>
      <c r="T12" s="1387"/>
      <c r="U12" s="1388"/>
      <c r="V12" s="1388"/>
      <c r="W12" s="1388"/>
      <c r="X12" s="1388"/>
      <c r="Y12" s="1388"/>
      <c r="Z12" s="1388"/>
      <c r="AA12" s="1388"/>
      <c r="AB12" s="1388"/>
      <c r="AC12" s="1388"/>
      <c r="AD12" s="1388"/>
      <c r="AE12" s="1388"/>
      <c r="AF12" s="1388"/>
      <c r="AG12" s="1388"/>
      <c r="AH12" s="1388"/>
      <c r="AI12" s="1388"/>
      <c r="AJ12" s="1388"/>
      <c r="AK12" s="1388"/>
      <c r="AL12" s="1388"/>
      <c r="AM12" s="1389"/>
      <c r="AO12" s="500"/>
      <c r="AP12" s="500" t="str">
        <f>IF(T12="","",T12)</f>
        <v/>
      </c>
      <c r="AQ12" s="500"/>
      <c r="AR12" s="500"/>
      <c r="AS12" s="1155">
        <v>0</v>
      </c>
    </row>
    <row s="1642" customFormat="1" customHeight="1" ht="0.75" hidden="1">
      <c r="A13" s="1314"/>
      <c r="B13" s="1314"/>
      <c r="C13" s="1314"/>
      <c r="D13" s="1314"/>
      <c r="E13" s="2259"/>
      <c r="F13" s="2259"/>
      <c r="G13" s="2258"/>
      <c r="H13" s="1314"/>
      <c r="I13" s="1314"/>
      <c r="J13" s="1314"/>
      <c r="K13" s="1314"/>
      <c r="L13" s="1339"/>
      <c r="M13" s="1315"/>
      <c r="N13" s="1315"/>
      <c r="P13" s="1316"/>
      <c r="Q13" s="1317"/>
      <c r="R13" s="1316"/>
      <c r="S13" s="1318"/>
      <c r="T13" s="1319" t="s">
        <v>416</v>
      </c>
      <c r="U13" s="1320"/>
      <c r="V13" s="1320"/>
      <c r="W13" s="1320"/>
      <c r="X13" s="1320"/>
      <c r="Y13" s="1320"/>
      <c r="Z13" s="1320"/>
      <c r="AA13" s="1320"/>
      <c r="AB13" s="1320"/>
      <c r="AC13" s="1320"/>
      <c r="AD13" s="1320"/>
      <c r="AE13" s="1320"/>
      <c r="AF13" s="1320"/>
      <c r="AG13" s="1320"/>
      <c r="AH13" s="1320"/>
      <c r="AI13" s="1320"/>
      <c r="AJ13" s="1320"/>
      <c r="AK13" s="1320"/>
      <c r="AL13" s="1320"/>
      <c r="AM13" s="1320"/>
      <c r="AO13" s="789"/>
      <c r="AP13" s="789" t="str">
        <f>IF(T13="","",T13)</f>
        <v>Добавить источник для дифференциации</v>
      </c>
      <c r="AQ13" s="789"/>
      <c r="AR13" s="789"/>
      <c r="AS13" s="518">
        <v>0</v>
      </c>
    </row>
    <row s="1642" customFormat="1" customHeight="1" ht="0.75" hidden="1">
      <c r="A14" s="1314"/>
      <c r="B14" s="1314"/>
      <c r="C14" s="1314"/>
      <c r="D14" s="1314"/>
      <c r="E14" s="2259"/>
      <c r="F14" s="2258"/>
      <c r="G14" s="1314"/>
      <c r="H14" s="1314"/>
      <c r="I14" s="1314"/>
      <c r="J14" s="1314"/>
      <c r="K14" s="1314"/>
      <c r="L14" s="1339"/>
      <c r="M14" s="1321"/>
      <c r="N14" s="1321"/>
      <c r="P14" s="1316"/>
      <c r="Q14" s="1317"/>
      <c r="R14" s="1316"/>
      <c r="S14" s="1322"/>
      <c r="T14" s="1323" t="s">
        <v>417</v>
      </c>
      <c r="U14" s="1324"/>
      <c r="V14" s="1324"/>
      <c r="W14" s="1324"/>
      <c r="X14" s="1324"/>
      <c r="Y14" s="1324"/>
      <c r="Z14" s="1324"/>
      <c r="AA14" s="1324"/>
      <c r="AB14" s="1324"/>
      <c r="AC14" s="1324"/>
      <c r="AD14" s="1324"/>
      <c r="AE14" s="1324"/>
      <c r="AF14" s="1324"/>
      <c r="AG14" s="1324"/>
      <c r="AH14" s="1324"/>
      <c r="AI14" s="1324"/>
      <c r="AJ14" s="1324"/>
      <c r="AK14" s="1324"/>
      <c r="AL14" s="1324"/>
      <c r="AM14" s="1324"/>
      <c r="AO14" s="789"/>
      <c r="AP14" s="789" t="str">
        <f>IF(T14="","",T14)</f>
        <v>Добавить централизованную систему для дифференциации</v>
      </c>
      <c r="AQ14" s="789"/>
      <c r="AR14" s="789"/>
      <c r="AS14" s="518">
        <v>0</v>
      </c>
    </row>
    <row s="1642" customFormat="1" customHeight="1" ht="0.75" hidden="1">
      <c r="A15" s="1314"/>
      <c r="B15" s="1314"/>
      <c r="C15" s="1314"/>
      <c r="D15" s="1314"/>
      <c r="E15" s="2258"/>
      <c r="F15" s="1314"/>
      <c r="G15" s="1314"/>
      <c r="H15" s="1314"/>
      <c r="I15" s="1314"/>
      <c r="J15" s="1314"/>
      <c r="K15" s="1314"/>
      <c r="L15" s="1339"/>
      <c r="M15" s="1321"/>
      <c r="N15" s="1321"/>
      <c r="P15" s="1316"/>
      <c r="Q15" s="1317"/>
      <c r="R15" s="1316"/>
      <c r="S15" s="1322"/>
      <c r="T15" s="1325" t="s">
        <v>418</v>
      </c>
      <c r="U15" s="1324"/>
      <c r="V15" s="1324"/>
      <c r="W15" s="1324"/>
      <c r="X15" s="1324"/>
      <c r="Y15" s="1324"/>
      <c r="Z15" s="1324"/>
      <c r="AA15" s="1324"/>
      <c r="AB15" s="1324"/>
      <c r="AC15" s="1324"/>
      <c r="AD15" s="1324"/>
      <c r="AE15" s="1324"/>
      <c r="AF15" s="1324"/>
      <c r="AG15" s="1324"/>
      <c r="AH15" s="1324"/>
      <c r="AI15" s="1324"/>
      <c r="AJ15" s="1324"/>
      <c r="AK15" s="1324"/>
      <c r="AL15" s="1324"/>
      <c r="AM15" s="1324"/>
      <c r="AO15" s="789"/>
      <c r="AP15" s="789" t="str">
        <f>IF(T15="","",T15)</f>
        <v>Добавить территорию для дифференциации</v>
      </c>
      <c r="AQ15" s="789"/>
      <c r="AR15" s="789"/>
      <c r="AS15" s="518">
        <v>0</v>
      </c>
    </row>
    <row customHeight="1" ht="14.25" hidden="1">
      <c r="AC16" s="327"/>
      <c r="AK16" s="327"/>
      <c r="AS16" s="1155">
        <v>0</v>
      </c>
    </row>
    <row customHeight="1" ht="14.25" hidden="1">
      <c r="AD17" s="1360"/>
      <c r="AE17" s="1360"/>
      <c r="AF17" s="1360"/>
      <c r="AG17" s="1361"/>
      <c r="AH17" s="2267"/>
      <c r="AI17" s="2268" t="s">
        <v>66</v>
      </c>
      <c r="AJ17" s="2267"/>
      <c r="AK17" s="2268" t="s">
        <v>66</v>
      </c>
      <c r="AS17" s="1155">
        <v>0</v>
      </c>
    </row>
    <row customHeight="1" ht="14.25" hidden="1">
      <c r="AD18" s="1360"/>
      <c r="AE18" s="1360"/>
      <c r="AF18" s="1360"/>
      <c r="AG18" s="328" t="str">
        <f>AH17&amp;"-"&amp;AJ17</f>
        <v>-</v>
      </c>
      <c r="AH18" s="2268"/>
      <c r="AI18" s="2268"/>
      <c r="AJ18" s="2268"/>
      <c r="AK18" s="2268"/>
      <c r="AS18" s="1155">
        <v>0</v>
      </c>
    </row>
    <row customHeight="1" ht="14.25" hidden="1">
      <c r="AK19" s="327"/>
      <c r="AS19" s="1155">
        <v>0</v>
      </c>
    </row>
    <row s="1366" customFormat="1" customHeight="1" ht="22.5" hidden="1">
      <c r="L20" s="1329"/>
      <c r="M20" s="1362"/>
      <c r="N20" s="1362"/>
      <c r="O20" s="1367" t="s">
        <v>419</v>
      </c>
      <c r="P20" s="1362"/>
      <c r="Q20" s="1371"/>
      <c r="R20" s="1371"/>
      <c r="S20" s="729"/>
      <c r="Z20" s="1367"/>
      <c r="AB20" s="1367"/>
      <c r="AC20" s="1366"/>
      <c r="AH20" s="1367"/>
      <c r="AJ20" s="1367"/>
      <c r="AK20" s="1366"/>
      <c r="AN20" s="511"/>
      <c r="AO20" s="511"/>
      <c r="AP20" s="511"/>
      <c r="AQ20" s="511"/>
      <c r="AR20" s="511"/>
      <c r="AS20" s="1160">
        <v>0</v>
      </c>
    </row>
    <row s="1366" customFormat="1" customHeight="1" ht="14.25" hidden="1">
      <c r="L21" s="1329"/>
      <c r="M21" s="1362"/>
      <c r="N21" s="1362"/>
      <c r="O21" s="1362"/>
      <c r="P21" s="1362"/>
      <c r="Q21" s="1371"/>
      <c r="R21" s="1371"/>
      <c r="S21" s="729"/>
      <c r="AC21" s="1366"/>
      <c r="AK21" s="1366"/>
      <c r="AN21" s="511"/>
      <c r="AO21" s="511"/>
      <c r="AP21" s="511"/>
      <c r="AQ21" s="511"/>
      <c r="AR21" s="511"/>
      <c r="AS21" s="1160">
        <v>0</v>
      </c>
    </row>
    <row s="1366" customFormat="1" customHeight="1" ht="14.25" hidden="1">
      <c r="L22" s="1329"/>
      <c r="M22" s="1362"/>
      <c r="N22" s="1362"/>
      <c r="O22" s="1364" t="s">
        <v>420</v>
      </c>
      <c r="P22" s="1362"/>
      <c r="Q22" s="1371"/>
      <c r="R22" s="1371"/>
      <c r="S22" s="729"/>
      <c r="T22" s="1160" t="s">
        <v>421</v>
      </c>
      <c r="AA22" s="186" t="s">
        <v>422</v>
      </c>
      <c r="AC22" s="186" t="s">
        <v>423</v>
      </c>
      <c r="AD22" s="1160" t="s">
        <v>421</v>
      </c>
      <c r="AI22" s="186" t="s">
        <v>424</v>
      </c>
      <c r="AK22" s="186" t="s">
        <v>423</v>
      </c>
      <c r="AN22" s="511"/>
      <c r="AO22" s="511"/>
      <c r="AP22" s="511"/>
      <c r="AQ22" s="511"/>
      <c r="AR22" s="511"/>
      <c r="AS22" s="1160">
        <v>0</v>
      </c>
    </row>
    <row customHeight="1" ht="14.25" hidden="1">
      <c r="O23" s="1364"/>
      <c r="AS23" s="1155">
        <v>0</v>
      </c>
    </row>
    <row customHeight="1" ht="14.25" hidden="1">
      <c r="O24" s="1364"/>
      <c r="AS24" s="1155">
        <v>0</v>
      </c>
    </row>
    <row customHeight="1" ht="14.699999999999998">
      <c r="Q25" s="376"/>
      <c r="R25" s="376"/>
      <c r="S25" s="1275"/>
      <c r="T25" s="363"/>
      <c r="U25" s="363"/>
      <c r="V25" s="509"/>
      <c r="W25" s="509"/>
      <c r="X25" s="509"/>
      <c r="Y25" s="509"/>
      <c r="Z25" s="509"/>
      <c r="AA25" s="509"/>
      <c r="AB25" s="509"/>
      <c r="AC25" s="509"/>
      <c r="AD25" s="509"/>
      <c r="AE25" s="509"/>
      <c r="AF25" s="509"/>
      <c r="AG25" s="509"/>
      <c r="AH25" s="509"/>
      <c r="AI25" s="509"/>
      <c r="AJ25" s="509"/>
      <c r="AK25" s="509"/>
      <c r="AS25" s="1155">
        <v>14</v>
      </c>
    </row>
    <row customHeight="1" ht="54.75">
      <c r="Q26" s="376"/>
      <c r="R26" s="376"/>
      <c r="S26" s="2307" t="str">
        <f>IF(TEMPLATE_GROUP="P",PT_P_FORM_HEAT_5_NAME_FORM,PT_R_FORM_HEAT_22_NAME_FORM)</f>
        <v>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v>
      </c>
      <c r="T26" s="2307"/>
      <c r="U26" s="2307"/>
      <c r="V26" s="2307"/>
      <c r="W26" s="2307"/>
      <c r="X26" s="2307"/>
      <c r="Y26" s="2307"/>
      <c r="Z26" s="2307"/>
      <c r="AA26" s="2307"/>
      <c r="AB26" s="2307"/>
      <c r="AC26" s="2307"/>
      <c r="AD26" s="2307"/>
      <c r="AE26" s="2307"/>
      <c r="AF26" s="2307"/>
      <c r="AG26" s="2307"/>
      <c r="AH26" s="2307"/>
      <c r="AI26" s="2307"/>
      <c r="AJ26" s="2307"/>
      <c r="AK26" s="1243"/>
      <c r="AS26" s="1155">
        <v>52</v>
      </c>
    </row>
    <row customHeight="1" ht="14.699999999999998">
      <c r="Q27" s="376"/>
      <c r="R27" s="376"/>
      <c r="S27" s="2249" t="str">
        <f>IF(org=0,"Не определено",org)</f>
        <v>ПАО "ОГК-2"</v>
      </c>
      <c r="T27" s="2249"/>
      <c r="U27" s="2249"/>
      <c r="V27" s="2249"/>
      <c r="W27" s="2249"/>
      <c r="X27" s="2249"/>
      <c r="Y27" s="2249"/>
      <c r="Z27" s="2249"/>
      <c r="AA27" s="2249"/>
      <c r="AB27" s="2249"/>
      <c r="AC27" s="2249"/>
      <c r="AD27" s="2249"/>
      <c r="AE27" s="2249"/>
      <c r="AF27" s="2249"/>
      <c r="AG27" s="2249"/>
      <c r="AH27" s="2249"/>
      <c r="AI27" s="2249"/>
      <c r="AJ27" s="2249"/>
      <c r="AK27" s="1243"/>
      <c r="AS27" s="1155">
        <v>14</v>
      </c>
    </row>
    <row customHeight="1" ht="14.25" hidden="1">
      <c r="Q28" s="376"/>
      <c r="R28" s="376"/>
      <c r="S28" s="1275"/>
      <c r="T28" s="363"/>
      <c r="U28" s="363"/>
      <c r="V28" s="322"/>
      <c r="W28" s="322"/>
      <c r="X28" s="322"/>
      <c r="Y28" s="322"/>
      <c r="Z28" s="322"/>
      <c r="AA28" s="322"/>
      <c r="AB28" s="322"/>
      <c r="AC28" s="322"/>
      <c r="AD28" s="322"/>
      <c r="AE28" s="322"/>
      <c r="AF28" s="322"/>
      <c r="AG28" s="322"/>
      <c r="AH28" s="322"/>
      <c r="AI28" s="322"/>
      <c r="AJ28" s="322"/>
      <c r="AK28" s="322"/>
      <c r="AL28" s="509"/>
      <c r="AS28" s="1155">
        <v>0</v>
      </c>
    </row>
    <row s="1853" customFormat="1" customHeight="1" ht="25.5" hidden="1">
      <c r="A29" s="1368"/>
      <c r="B29" s="1368"/>
      <c r="C29" s="1368"/>
      <c r="D29" s="1368"/>
      <c r="E29" s="1368"/>
      <c r="F29" s="1368"/>
      <c r="G29" s="1368"/>
      <c r="H29" s="1368"/>
      <c r="I29" s="1368"/>
      <c r="J29" s="1368"/>
      <c r="K29" s="1368"/>
      <c r="L29" s="1369"/>
      <c r="M29" s="1368"/>
      <c r="N29" s="1368"/>
      <c r="O29" s="1368"/>
      <c r="S29" s="2250" t="s">
        <v>42</v>
      </c>
      <c r="T29" s="2250"/>
      <c r="U29" s="1372"/>
      <c r="V29" s="2251" t="str">
        <f>IF(TITLE_NAME_OR_PR_CHANGE="",IF(TITLE_NAME_OR_PR="","",TITLE_NAME_OR_PR),TITLE_NAME_OR_PR_CHANGE)</f>
        <v/>
      </c>
      <c r="W29" s="2251"/>
      <c r="X29" s="2251"/>
      <c r="Y29" s="2251"/>
      <c r="Z29" s="2251"/>
      <c r="AA29" s="2251"/>
      <c r="AB29" s="2251"/>
      <c r="AC29" s="326"/>
      <c r="AD29" s="2251" t="str">
        <f>IF(TITLE_NAME_OR_PR_CHANGE="",IF(TITLE_NAME_OR_PR="","",TITLE_NAME_OR_PR),TITLE_NAME_OR_PR_CHANGE)</f>
        <v/>
      </c>
      <c r="AE29" s="2251"/>
      <c r="AF29" s="2251"/>
      <c r="AG29" s="2251"/>
      <c r="AH29" s="2251"/>
      <c r="AI29" s="2251"/>
      <c r="AJ29" s="2251"/>
      <c r="AK29" s="326"/>
      <c r="AL29" s="326"/>
      <c r="AM29" s="280"/>
      <c r="AN29" s="368"/>
      <c r="AO29" s="368"/>
      <c r="AP29" s="368"/>
      <c r="AQ29" s="368"/>
      <c r="AR29" s="368"/>
      <c r="AS29" s="418">
        <v>0</v>
      </c>
    </row>
    <row s="1853" customFormat="1" customHeight="1" ht="18.75" hidden="1">
      <c r="A30" s="1368"/>
      <c r="B30" s="1368"/>
      <c r="C30" s="1368"/>
      <c r="D30" s="1368"/>
      <c r="E30" s="1368"/>
      <c r="F30" s="1368"/>
      <c r="G30" s="1368"/>
      <c r="H30" s="1368"/>
      <c r="I30" s="1368"/>
      <c r="J30" s="1368"/>
      <c r="K30" s="1368"/>
      <c r="L30" s="1369"/>
      <c r="M30" s="1368"/>
      <c r="N30" s="1368"/>
      <c r="O30" s="1368"/>
      <c r="S30" s="2250" t="s">
        <v>425</v>
      </c>
      <c r="T30" s="2250"/>
      <c r="U30" s="1372"/>
      <c r="V30" s="2264" t="str">
        <f>IF(TITLE_DATE_PR_CHANGE="",IF(TITLE_DATE_PR="","",TITLE_DATE_PR),TITLE_DATE_PR_CHANGE)</f>
        <v/>
      </c>
      <c r="W30" s="2264"/>
      <c r="X30" s="2264"/>
      <c r="Y30" s="2264"/>
      <c r="Z30" s="2264"/>
      <c r="AA30" s="2264"/>
      <c r="AB30" s="2264"/>
      <c r="AC30" s="326"/>
      <c r="AD30" s="2264" t="str">
        <f>IF(TITLE_DATE_PR_CHANGE="",IF(TITLE_DATE_PR="","",TITLE_DATE_PR),TITLE_DATE_PR_CHANGE)</f>
        <v/>
      </c>
      <c r="AE30" s="2264"/>
      <c r="AF30" s="2264"/>
      <c r="AG30" s="2264"/>
      <c r="AH30" s="2264"/>
      <c r="AI30" s="2264"/>
      <c r="AJ30" s="2264"/>
      <c r="AK30" s="326"/>
      <c r="AL30" s="326"/>
      <c r="AM30" s="280"/>
      <c r="AN30" s="368"/>
      <c r="AO30" s="368"/>
      <c r="AP30" s="368"/>
      <c r="AQ30" s="368"/>
      <c r="AR30" s="368"/>
      <c r="AS30" s="418">
        <v>0</v>
      </c>
    </row>
    <row s="1853" customFormat="1" customHeight="1" ht="18.75" hidden="1">
      <c r="A31" s="1368"/>
      <c r="B31" s="1368"/>
      <c r="C31" s="1368"/>
      <c r="D31" s="1368"/>
      <c r="E31" s="1368"/>
      <c r="F31" s="1368"/>
      <c r="G31" s="1368"/>
      <c r="H31" s="1368"/>
      <c r="I31" s="1368"/>
      <c r="J31" s="1368"/>
      <c r="K31" s="1368"/>
      <c r="L31" s="1369"/>
      <c r="M31" s="1368"/>
      <c r="N31" s="1368"/>
      <c r="O31" s="1368"/>
      <c r="S31" s="2250" t="s">
        <v>426</v>
      </c>
      <c r="T31" s="2250"/>
      <c r="U31" s="1372"/>
      <c r="V31" s="2251" t="str">
        <f>IF(TITLE_NUMBER_PR_CHANGE="",IF(TITLE_NUMBER_PR="","",TITLE_NUMBER_PR),TITLE_NUMBER_PR_CHANGE)</f>
        <v/>
      </c>
      <c r="W31" s="2251"/>
      <c r="X31" s="2251"/>
      <c r="Y31" s="2251"/>
      <c r="Z31" s="2251"/>
      <c r="AA31" s="2251"/>
      <c r="AB31" s="2251"/>
      <c r="AC31" s="326"/>
      <c r="AD31" s="2251" t="str">
        <f>IF(TITLE_NUMBER_PR_CHANGE="",IF(TITLE_NUMBER_PR="","",TITLE_NUMBER_PR),TITLE_NUMBER_PR_CHANGE)</f>
        <v/>
      </c>
      <c r="AE31" s="2251"/>
      <c r="AF31" s="2251"/>
      <c r="AG31" s="2251"/>
      <c r="AH31" s="2251"/>
      <c r="AI31" s="2251"/>
      <c r="AJ31" s="2251"/>
      <c r="AK31" s="326"/>
      <c r="AL31" s="326"/>
      <c r="AM31" s="280"/>
      <c r="AN31" s="368"/>
      <c r="AO31" s="368"/>
      <c r="AP31" s="368"/>
      <c r="AQ31" s="368"/>
      <c r="AR31" s="368"/>
      <c r="AS31" s="418">
        <v>0</v>
      </c>
    </row>
    <row s="1853" customFormat="1" customHeight="1" ht="18.75" hidden="1">
      <c r="A32" s="1368"/>
      <c r="B32" s="1368"/>
      <c r="C32" s="1368"/>
      <c r="D32" s="1368"/>
      <c r="E32" s="1368"/>
      <c r="F32" s="1368"/>
      <c r="G32" s="1368"/>
      <c r="H32" s="1368"/>
      <c r="I32" s="1368"/>
      <c r="J32" s="1368"/>
      <c r="K32" s="1368"/>
      <c r="L32" s="1369"/>
      <c r="M32" s="1368"/>
      <c r="N32" s="1368"/>
      <c r="O32" s="1368"/>
      <c r="S32" s="2250" t="s">
        <v>43</v>
      </c>
      <c r="T32" s="2250"/>
      <c r="U32" s="1372"/>
      <c r="V32" s="2251" t="str">
        <f>IF(TITLE_IST_PUB_CHANGE="",IF(TITLE_IST_PUB="","",TITLE_IST_PUB),TITLE_IST_PUB_CHANGE)</f>
        <v/>
      </c>
      <c r="W32" s="2251"/>
      <c r="X32" s="2251"/>
      <c r="Y32" s="2251"/>
      <c r="Z32" s="2251"/>
      <c r="AA32" s="2251"/>
      <c r="AB32" s="2251"/>
      <c r="AC32" s="326"/>
      <c r="AD32" s="2251" t="str">
        <f>IF(TITLE_IST_PUB_CHANGE="",IF(TITLE_IST_PUB="","",TITLE_IST_PUB),TITLE_IST_PUB_CHANGE)</f>
        <v/>
      </c>
      <c r="AE32" s="2251"/>
      <c r="AF32" s="2251"/>
      <c r="AG32" s="2251"/>
      <c r="AH32" s="2251"/>
      <c r="AI32" s="2251"/>
      <c r="AJ32" s="2251"/>
      <c r="AK32" s="326"/>
      <c r="AL32" s="326"/>
      <c r="AM32" s="280"/>
      <c r="AN32" s="368"/>
      <c r="AO32" s="368"/>
      <c r="AP32" s="368"/>
      <c r="AQ32" s="368"/>
      <c r="AR32" s="368"/>
      <c r="AS32" s="418">
        <v>0</v>
      </c>
    </row>
    <row customHeight="1" ht="14.25" hidden="1">
      <c r="Q33" s="376"/>
      <c r="R33" s="376"/>
      <c r="S33" s="1275"/>
      <c r="T33" s="363"/>
      <c r="U33" s="363"/>
      <c r="V33" s="322"/>
      <c r="W33" s="322"/>
      <c r="X33" s="322"/>
      <c r="Y33" s="322"/>
      <c r="Z33" s="322"/>
      <c r="AA33" s="322"/>
      <c r="AB33" s="322"/>
      <c r="AC33" s="322"/>
      <c r="AD33" s="322"/>
      <c r="AE33" s="322"/>
      <c r="AF33" s="322"/>
      <c r="AG33" s="322"/>
      <c r="AH33" s="322"/>
      <c r="AI33" s="322"/>
      <c r="AJ33" s="322"/>
      <c r="AK33" s="322"/>
      <c r="AL33" s="509"/>
      <c r="AS33" s="1155">
        <v>0</v>
      </c>
    </row>
    <row s="1853" customFormat="1" customHeight="1" ht="18.75" hidden="1">
      <c r="A34" s="1368"/>
      <c r="B34" s="1368"/>
      <c r="C34" s="1368"/>
      <c r="D34" s="1368"/>
      <c r="E34" s="1368"/>
      <c r="F34" s="1368"/>
      <c r="G34" s="1368"/>
      <c r="H34" s="1368"/>
      <c r="I34" s="1368"/>
      <c r="J34" s="1368"/>
      <c r="K34" s="1368"/>
      <c r="L34" s="1369"/>
      <c r="M34" s="1368"/>
      <c r="N34" s="1368"/>
      <c r="O34" s="1368"/>
      <c r="S34" s="2250" t="s">
        <v>427</v>
      </c>
      <c r="T34" s="2250"/>
      <c r="U34" s="1372"/>
      <c r="V34" s="2264" t="str">
        <f>IF(TITLE_DATE_PR_CHANGE="",IF(TITLE_DATE_PR="","",TITLE_DATE_PR),TITLE_DATE_PR_CHANGE)</f>
        <v/>
      </c>
      <c r="W34" s="2264"/>
      <c r="X34" s="2264"/>
      <c r="Y34" s="2264"/>
      <c r="Z34" s="2264"/>
      <c r="AA34" s="2264"/>
      <c r="AB34" s="2264"/>
      <c r="AC34" s="326"/>
      <c r="AD34" s="2264" t="str">
        <f>IF(TITLE_DATE_PR_CHANGE="",IF(TITLE_DATE_PR="","",TITLE_DATE_PR),TITLE_DATE_PR_CHANGE)</f>
        <v/>
      </c>
      <c r="AE34" s="2264"/>
      <c r="AF34" s="2264"/>
      <c r="AG34" s="2264"/>
      <c r="AH34" s="2264"/>
      <c r="AI34" s="2264"/>
      <c r="AJ34" s="2264"/>
      <c r="AK34" s="326"/>
      <c r="AL34" s="326"/>
      <c r="AM34" s="280"/>
      <c r="AN34" s="368"/>
      <c r="AO34" s="368"/>
      <c r="AP34" s="368"/>
      <c r="AQ34" s="368"/>
      <c r="AR34" s="368"/>
      <c r="AS34" s="418">
        <v>0</v>
      </c>
    </row>
    <row s="1853" customFormat="1" customHeight="1" ht="18.75" hidden="1">
      <c r="A35" s="1368"/>
      <c r="B35" s="1368"/>
      <c r="C35" s="1368"/>
      <c r="D35" s="1368"/>
      <c r="E35" s="1368"/>
      <c r="F35" s="1368"/>
      <c r="G35" s="1368"/>
      <c r="H35" s="1368"/>
      <c r="I35" s="1368"/>
      <c r="J35" s="1368"/>
      <c r="K35" s="1368"/>
      <c r="L35" s="1369"/>
      <c r="M35" s="1368"/>
      <c r="N35" s="1368"/>
      <c r="O35" s="1368"/>
      <c r="S35" s="2250" t="s">
        <v>428</v>
      </c>
      <c r="T35" s="2250"/>
      <c r="U35" s="1372"/>
      <c r="V35" s="2251" t="str">
        <f>IF(TITLE_NUMBER_PR_CHANGE="",IF(TITLE_NUMBER_PR="","",TITLE_NUMBER_PR),TITLE_NUMBER_PR_CHANGE)</f>
        <v/>
      </c>
      <c r="W35" s="2251"/>
      <c r="X35" s="2251"/>
      <c r="Y35" s="2251"/>
      <c r="Z35" s="2251"/>
      <c r="AA35" s="2251"/>
      <c r="AB35" s="2251"/>
      <c r="AC35" s="326"/>
      <c r="AD35" s="2251" t="str">
        <f>IF(TITLE_NUMBER_PR_CHANGE="",IF(TITLE_NUMBER_PR="","",TITLE_NUMBER_PR),TITLE_NUMBER_PR_CHANGE)</f>
        <v/>
      </c>
      <c r="AE35" s="2251"/>
      <c r="AF35" s="2251"/>
      <c r="AG35" s="2251"/>
      <c r="AH35" s="2251"/>
      <c r="AI35" s="2251"/>
      <c r="AJ35" s="2251"/>
      <c r="AK35" s="326"/>
      <c r="AL35" s="326"/>
      <c r="AM35" s="280"/>
      <c r="AN35" s="368"/>
      <c r="AO35" s="368"/>
      <c r="AP35" s="368"/>
      <c r="AQ35" s="368"/>
      <c r="AR35" s="368"/>
      <c r="AS35" s="418">
        <v>0</v>
      </c>
    </row>
    <row s="1853" customFormat="1" customHeight="1" ht="0">
      <c r="A36" s="1368"/>
      <c r="B36" s="1368"/>
      <c r="C36" s="1368"/>
      <c r="D36" s="1368"/>
      <c r="E36" s="1368"/>
      <c r="F36" s="1368"/>
      <c r="G36" s="1368"/>
      <c r="H36" s="1368"/>
      <c r="I36" s="1368"/>
      <c r="J36" s="1368"/>
      <c r="K36" s="1368"/>
      <c r="L36" s="1369"/>
      <c r="M36" s="1368"/>
      <c r="N36" s="1368"/>
      <c r="O36" s="1368"/>
      <c r="S36" s="323"/>
      <c r="T36" s="323"/>
      <c r="U36" s="1340"/>
      <c r="V36" s="326"/>
      <c r="W36" s="326"/>
      <c r="X36" s="326"/>
      <c r="Y36" s="326"/>
      <c r="Z36" s="326"/>
      <c r="AA36" s="326"/>
      <c r="AB36" s="326"/>
      <c r="AC36" s="278" t="s">
        <v>429</v>
      </c>
      <c r="AD36" s="326"/>
      <c r="AE36" s="326"/>
      <c r="AF36" s="326"/>
      <c r="AG36" s="326"/>
      <c r="AH36" s="326"/>
      <c r="AI36" s="326"/>
      <c r="AJ36" s="326"/>
      <c r="AK36" s="278" t="s">
        <v>429</v>
      </c>
      <c r="AN36" s="368"/>
      <c r="AO36" s="368"/>
      <c r="AP36" s="368"/>
      <c r="AQ36" s="368"/>
      <c r="AR36" s="368"/>
      <c r="AS36" s="418">
        <v>0</v>
      </c>
    </row>
    <row customHeight="1" ht="14.699999999999998">
      <c r="Q37" s="376"/>
      <c r="R37" s="376"/>
      <c r="S37" s="1275"/>
      <c r="T37" s="363"/>
      <c r="U37" s="1244"/>
      <c r="V37" s="2252"/>
      <c r="W37" s="2252"/>
      <c r="X37" s="2252"/>
      <c r="Y37" s="2252"/>
      <c r="Z37" s="2252"/>
      <c r="AA37" s="2252"/>
      <c r="AB37" s="2252"/>
      <c r="AC37" s="2252"/>
      <c r="AD37" s="2252"/>
      <c r="AE37" s="2252"/>
      <c r="AF37" s="2252"/>
      <c r="AG37" s="2252"/>
      <c r="AH37" s="2252"/>
      <c r="AI37" s="2252"/>
      <c r="AJ37" s="2252"/>
      <c r="AK37" s="2252"/>
      <c r="AS37" s="1155">
        <v>14</v>
      </c>
    </row>
    <row customHeight="1" ht="14.699999999999998">
      <c r="Q38" s="376"/>
      <c r="R38" s="376"/>
      <c r="S38" s="2127" t="s">
        <v>302</v>
      </c>
      <c r="T38" s="2127"/>
      <c r="U38" s="2127"/>
      <c r="V38" s="2127"/>
      <c r="W38" s="2127"/>
      <c r="X38" s="2127"/>
      <c r="Y38" s="2127"/>
      <c r="Z38" s="2127"/>
      <c r="AA38" s="2127"/>
      <c r="AB38" s="2127"/>
      <c r="AC38" s="2127"/>
      <c r="AD38" s="2127"/>
      <c r="AE38" s="2127"/>
      <c r="AF38" s="2127"/>
      <c r="AG38" s="2127"/>
      <c r="AH38" s="2127"/>
      <c r="AI38" s="2127"/>
      <c r="AJ38" s="2127"/>
      <c r="AK38" s="2127"/>
      <c r="AL38" s="2127"/>
      <c r="AM38" s="2127" t="s">
        <v>303</v>
      </c>
      <c r="AS38" s="1155">
        <v>14</v>
      </c>
    </row>
    <row customHeight="1" ht="14.699999999999998">
      <c r="Q39" s="376"/>
      <c r="R39" s="376"/>
      <c r="S39" s="2273" t="s">
        <v>88</v>
      </c>
      <c r="T39" s="2209" t="s">
        <v>430</v>
      </c>
      <c r="U39" s="301"/>
      <c r="V39" s="2274" t="s">
        <v>431</v>
      </c>
      <c r="W39" s="2275"/>
      <c r="X39" s="2275"/>
      <c r="Y39" s="2275"/>
      <c r="Z39" s="2275"/>
      <c r="AA39" s="2275"/>
      <c r="AB39" s="2276"/>
      <c r="AC39" s="2277" t="s">
        <v>432</v>
      </c>
      <c r="AD39" s="2274" t="s">
        <v>431</v>
      </c>
      <c r="AE39" s="2275"/>
      <c r="AF39" s="2275"/>
      <c r="AG39" s="2275"/>
      <c r="AH39" s="2275"/>
      <c r="AI39" s="2275"/>
      <c r="AJ39" s="2276"/>
      <c r="AK39" s="2277" t="s">
        <v>433</v>
      </c>
      <c r="AL39" s="2280" t="s">
        <v>434</v>
      </c>
      <c r="AM39" s="2127"/>
      <c r="AS39" s="1155">
        <v>14</v>
      </c>
    </row>
    <row customHeight="1" ht="35.699999999999996">
      <c r="Q40" s="376"/>
      <c r="R40" s="376"/>
      <c r="S40" s="2273"/>
      <c r="T40" s="2209"/>
      <c r="U40" s="1031"/>
      <c r="V40" s="2260" t="s">
        <v>435</v>
      </c>
      <c r="W40" s="2283"/>
      <c r="X40" s="2262" t="s">
        <v>437</v>
      </c>
      <c r="Y40" s="2263"/>
      <c r="Z40" s="2262" t="s">
        <v>438</v>
      </c>
      <c r="AA40" s="2269"/>
      <c r="AB40" s="2263"/>
      <c r="AC40" s="2278"/>
      <c r="AD40" s="2260" t="s">
        <v>452</v>
      </c>
      <c r="AE40" s="2283"/>
      <c r="AF40" s="2262" t="s">
        <v>437</v>
      </c>
      <c r="AG40" s="2263"/>
      <c r="AH40" s="2262" t="s">
        <v>438</v>
      </c>
      <c r="AI40" s="2269"/>
      <c r="AJ40" s="2263"/>
      <c r="AK40" s="2278"/>
      <c r="AL40" s="2281"/>
      <c r="AM40" s="2127"/>
      <c r="AS40" s="1155">
        <v>34</v>
      </c>
    </row>
    <row customHeight="1" ht="35.699999999999996">
      <c r="A41" s="1370"/>
      <c r="B41" s="1370" t="s">
        <v>139</v>
      </c>
      <c r="C41" s="1370" t="s">
        <v>140</v>
      </c>
      <c r="D41" s="1370" t="s">
        <v>141</v>
      </c>
      <c r="E41" s="1364" t="s">
        <v>439</v>
      </c>
      <c r="F41" s="1364" t="s">
        <v>440</v>
      </c>
      <c r="G41" s="1364" t="s">
        <v>441</v>
      </c>
      <c r="H41" s="1364" t="s">
        <v>442</v>
      </c>
      <c r="I41" s="1364" t="s">
        <v>443</v>
      </c>
      <c r="J41" s="1364" t="s">
        <v>444</v>
      </c>
      <c r="K41" s="1364" t="s">
        <v>445</v>
      </c>
      <c r="L41" s="1364" t="s">
        <v>420</v>
      </c>
      <c r="Q41" s="376"/>
      <c r="R41" s="376"/>
      <c r="S41" s="2273"/>
      <c r="T41" s="2209"/>
      <c r="U41" s="302"/>
      <c r="V41" s="2261"/>
      <c r="W41" s="2284"/>
      <c r="X41" s="1222" t="s">
        <v>446</v>
      </c>
      <c r="Y41" s="1222" t="s">
        <v>447</v>
      </c>
      <c r="Z41" s="1338" t="s">
        <v>448</v>
      </c>
      <c r="AA41" s="2270" t="s">
        <v>449</v>
      </c>
      <c r="AB41" s="2271"/>
      <c r="AC41" s="2279"/>
      <c r="AD41" s="2261"/>
      <c r="AE41" s="2284"/>
      <c r="AF41" s="1222" t="s">
        <v>446</v>
      </c>
      <c r="AG41" s="1222" t="s">
        <v>447</v>
      </c>
      <c r="AH41" s="1338" t="s">
        <v>448</v>
      </c>
      <c r="AI41" s="2270" t="s">
        <v>449</v>
      </c>
      <c r="AJ41" s="2271"/>
      <c r="AK41" s="2279"/>
      <c r="AL41" s="2282"/>
      <c r="AM41" s="2127"/>
      <c r="AS41" s="1155">
        <v>34</v>
      </c>
    </row>
    <row s="1641" customFormat="1" customHeight="1" ht="11.25" hidden="1">
      <c r="A42" s="1370"/>
      <c r="B42" s="1370"/>
      <c r="C42" s="1370"/>
      <c r="D42" s="1370"/>
      <c r="E42" s="1370"/>
      <c r="F42" s="1370"/>
      <c r="G42" s="1370"/>
      <c r="H42" s="1370"/>
      <c r="I42" s="1370"/>
      <c r="J42" s="1370"/>
      <c r="K42" s="1370"/>
      <c r="L42" s="1364"/>
      <c r="M42" s="1362"/>
      <c r="N42" s="1362"/>
      <c r="O42" s="1362"/>
      <c r="P42" s="1246"/>
      <c r="Q42" s="1247"/>
      <c r="R42" s="1254">
        <v>1</v>
      </c>
      <c r="S42" s="1277" t="s">
        <v>109</v>
      </c>
      <c r="T42" s="1255" t="s">
        <v>110</v>
      </c>
      <c r="U42" s="1245" t="str">
        <f>OFFSET(U42,0,-1)</f>
        <v>2</v>
      </c>
      <c r="V42" s="1335">
        <f>OFFSET(V42,0,-1)+1</f>
        <v>3</v>
      </c>
      <c r="W42" s="1335"/>
      <c r="X42" s="1335">
        <f>OFFSET(X42,0,-1)+1</f>
        <v>1</v>
      </c>
      <c r="Y42" s="1335">
        <f>OFFSET(Y42,0,-1)+1</f>
        <v>2</v>
      </c>
      <c r="Z42" s="1335">
        <f>OFFSET(Z42,0,-1)+1</f>
        <v>3</v>
      </c>
      <c r="AA42" s="2272">
        <f>OFFSET(AA42,0,-1)+1</f>
        <v>4</v>
      </c>
      <c r="AB42" s="2272"/>
      <c r="AC42" s="1335">
        <f>OFFSET(AC42,0,-2)+1</f>
        <v>5</v>
      </c>
      <c r="AD42" s="1335">
        <f>OFFSET(AD42,0,-1)+1</f>
        <v>6</v>
      </c>
      <c r="AE42" s="1335"/>
      <c r="AF42" s="1335">
        <f>OFFSET(AF42,0,-1)+1</f>
        <v>1</v>
      </c>
      <c r="AG42" s="1335">
        <f>OFFSET(AG42,0,-1)+1</f>
        <v>2</v>
      </c>
      <c r="AH42" s="1335">
        <f>OFFSET(AH42,0,-1)+1</f>
        <v>3</v>
      </c>
      <c r="AI42" s="2272">
        <f>OFFSET(AI42,0,-1)+1</f>
        <v>4</v>
      </c>
      <c r="AJ42" s="2272"/>
      <c r="AK42" s="1335">
        <f>OFFSET(AK42,0,-2)+1</f>
        <v>5</v>
      </c>
      <c r="AL42" s="1245">
        <f>OFFSET(AL42,0,-1)</f>
        <v>5</v>
      </c>
      <c r="AM42" s="1335">
        <f>OFFSET(AM42,0,-1)+1</f>
        <v>6</v>
      </c>
      <c r="AN42" s="511"/>
      <c r="AO42" s="511"/>
      <c r="AP42" s="511"/>
      <c r="AQ42" s="511"/>
      <c r="AR42" s="511"/>
      <c r="AS42" s="496">
        <v>0</v>
      </c>
    </row>
    <row customHeight="1" ht="22.049999999999997">
      <c r="A43" s="1363" t="s">
        <v>184</v>
      </c>
      <c r="B43" s="1363"/>
      <c r="C43" s="1363"/>
      <c r="D43" s="1363"/>
      <c r="E43" s="2258">
        <v>1</v>
      </c>
      <c r="F43" s="1363"/>
      <c r="G43" s="1363"/>
      <c r="H43" s="1363"/>
      <c r="I43" s="1363"/>
      <c r="J43" s="1363"/>
      <c r="K43" s="1363"/>
      <c r="L43" s="1364"/>
      <c r="M43" s="1365"/>
      <c r="N43" s="1365"/>
      <c r="O43" s="1365"/>
      <c r="P43" s="361"/>
      <c r="Q43" s="360"/>
      <c r="R43" s="355"/>
      <c r="S43" s="1336">
        <f>INDEX(PT_DIFFERENTIATION_NUM_NTAR,MATCH(A43,PT_DIFFERENTIATION_NTAR_ID,0))</f>
        <v>0</v>
      </c>
      <c r="T43" s="298" t="s">
        <v>127</v>
      </c>
      <c r="U43" s="300"/>
      <c r="V43" s="2242"/>
      <c r="W43" s="2243"/>
      <c r="X43" s="2243"/>
      <c r="Y43" s="2243"/>
      <c r="Z43" s="2243"/>
      <c r="AA43" s="2243"/>
      <c r="AB43" s="2243"/>
      <c r="AC43" s="2244"/>
      <c r="AD43" s="2242" t="str">
        <f>INDEX(PT_DIFFERENTIATION_NTAR,MATCH(A43,PT_DIFFERENTIATION_NTAR_ID,0))</f>
        <v/>
      </c>
      <c r="AE43" s="2243"/>
      <c r="AF43" s="2243"/>
      <c r="AG43" s="2243"/>
      <c r="AH43" s="2243"/>
      <c r="AI43" s="2243"/>
      <c r="AJ43" s="2243"/>
      <c r="AK43" s="2243"/>
      <c r="AL43" s="2244"/>
      <c r="AM43" s="1258" t="str">
        <f>IF(TEMPLATE_GROUP="P","По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"&amp;"с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"&amp;"2010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"&amp;"теплоснабжения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"&amp;"6 части 1 статьи 23 4 Федерального закона от 27 июля 2010 г. N 190-ФЗ ""О теплоснабжении"".
"&amp;"Для каждого вида тарифа в сфере теплоснабжения форма заполняется отдельно.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цены"&amp;"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"&amp;"В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"&amp;"Федерального закона от 27 июля 2010 г. N 190-ФЗ ""О теплоснабжении"". 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00"/>
      <c r="AP43" s="500" t="str">
        <f>IF(T43="","",T43)</f>
        <v>Наименование тарифа</v>
      </c>
      <c r="AQ43" s="500"/>
      <c r="AR43" s="500"/>
      <c r="AS43" s="1155">
        <v>21</v>
      </c>
    </row>
    <row customHeight="1" ht="22.049999999999997">
      <c r="A44" s="1363" t="s">
        <v>184</v>
      </c>
      <c r="B44" s="1363" t="s">
        <v>185</v>
      </c>
      <c r="C44" s="1363"/>
      <c r="D44" s="1363"/>
      <c r="E44" s="2259"/>
      <c r="F44" s="2258">
        <v>1</v>
      </c>
      <c r="G44" s="1363"/>
      <c r="H44" s="1363"/>
      <c r="I44" s="1363"/>
      <c r="J44" s="1363"/>
      <c r="K44" s="1363"/>
      <c r="L44" s="1364"/>
      <c r="M44" s="1365"/>
      <c r="N44" s="1365"/>
      <c r="O44" s="1365"/>
      <c r="P44" s="1332"/>
      <c r="Q44" s="352"/>
      <c r="R44" s="353"/>
      <c r="S44" s="1336" t="str">
        <f>INDEX(PT_DIFFERENTIATION_NUM_TER,MATCH(B44,PT_DIFFERENTIATION_TER_ID,0))</f>
        <v>.</v>
      </c>
      <c r="T44" s="308" t="s">
        <v>399</v>
      </c>
      <c r="U44" s="300"/>
      <c r="V44" s="2242"/>
      <c r="W44" s="2243"/>
      <c r="X44" s="2243"/>
      <c r="Y44" s="2243"/>
      <c r="Z44" s="2243"/>
      <c r="AA44" s="2243"/>
      <c r="AB44" s="2243"/>
      <c r="AC44" s="2244"/>
      <c r="AD44" s="2242" t="str">
        <f>INDEX(PT_DIFFERENTIATION_TER,MATCH(B44,PT_DIFFERENTIATION_TER_ID,0))</f>
        <v/>
      </c>
      <c r="AE44" s="2243"/>
      <c r="AF44" s="2243"/>
      <c r="AG44" s="2243"/>
      <c r="AH44" s="2243"/>
      <c r="AI44" s="2243"/>
      <c r="AJ44" s="2243"/>
      <c r="AK44" s="2243"/>
      <c r="AL44" s="2244"/>
      <c r="AM44" s="1258" t="s">
        <v>400</v>
      </c>
      <c r="AO44" s="500"/>
      <c r="AP44" s="500" t="str">
        <f>IF(T44="","",T44)</f>
        <v>Территория действия тарифа</v>
      </c>
      <c r="AQ44" s="500"/>
      <c r="AR44" s="500"/>
      <c r="AS44" s="1155">
        <v>21</v>
      </c>
    </row>
    <row customHeight="1" ht="24">
      <c r="A45" s="1363" t="s">
        <v>184</v>
      </c>
      <c r="B45" s="1363" t="s">
        <v>185</v>
      </c>
      <c r="C45" s="1363" t="s">
        <v>186</v>
      </c>
      <c r="D45" s="1363"/>
      <c r="E45" s="2259"/>
      <c r="F45" s="2259"/>
      <c r="G45" s="2258">
        <v>1</v>
      </c>
      <c r="H45" s="1363"/>
      <c r="I45" s="1363"/>
      <c r="J45" s="1363"/>
      <c r="K45" s="1363"/>
      <c r="L45" s="1364"/>
      <c r="M45" s="1365"/>
      <c r="N45" s="1365"/>
      <c r="O45" s="1365"/>
      <c r="P45" s="354"/>
      <c r="Q45" s="352"/>
      <c r="R45" s="353"/>
      <c r="S45" s="1336" t="str">
        <f>INDEX(PT_DIFFERENTIATION_NUM_CS,MATCH(C45,PT_DIFFERENTIATION_CS_ID,0))</f>
        <v>..</v>
      </c>
      <c r="T45" s="309" t="s">
        <v>401</v>
      </c>
      <c r="U45" s="300"/>
      <c r="V45" s="2242"/>
      <c r="W45" s="2243"/>
      <c r="X45" s="2243"/>
      <c r="Y45" s="2243"/>
      <c r="Z45" s="2243"/>
      <c r="AA45" s="2243"/>
      <c r="AB45" s="2243"/>
      <c r="AC45" s="2244"/>
      <c r="AD45" s="2242" t="str">
        <f>INDEX(PT_DIFFERENTIATION_CS,MATCH(C45,PT_DIFFERENTIATION_CS_ID,0))</f>
        <v/>
      </c>
      <c r="AE45" s="2243"/>
      <c r="AF45" s="2243"/>
      <c r="AG45" s="2243"/>
      <c r="AH45" s="2243"/>
      <c r="AI45" s="2243"/>
      <c r="AJ45" s="2243"/>
      <c r="AK45" s="2243"/>
      <c r="AL45" s="2244"/>
      <c r="AM45" s="1258" t="s">
        <v>402</v>
      </c>
      <c r="AO45" s="500"/>
      <c r="AP45" s="500" t="str">
        <f>IF(T45="","",T45)</f>
        <v>Наименование системы теплоснабжения </v>
      </c>
      <c r="AQ45" s="500"/>
      <c r="AR45" s="500"/>
      <c r="AS45" s="1155">
        <v>23</v>
      </c>
    </row>
    <row customHeight="1" ht="22.049999999999997">
      <c r="A46" s="1363" t="s">
        <v>184</v>
      </c>
      <c r="B46" s="1363" t="s">
        <v>185</v>
      </c>
      <c r="C46" s="1363" t="s">
        <v>186</v>
      </c>
      <c r="D46" s="1363" t="s">
        <v>187</v>
      </c>
      <c r="E46" s="2259"/>
      <c r="F46" s="2259"/>
      <c r="G46" s="2259"/>
      <c r="H46" s="2258">
        <v>1</v>
      </c>
      <c r="I46" s="1363"/>
      <c r="J46" s="1363"/>
      <c r="K46" s="1363"/>
      <c r="L46" s="1364"/>
      <c r="M46" s="1365"/>
      <c r="N46" s="1365"/>
      <c r="O46" s="1365"/>
      <c r="P46" s="354"/>
      <c r="Q46" s="352"/>
      <c r="R46" s="353"/>
      <c r="S46" s="1336" t="str">
        <f>INDEX(PT_DIFFERENTIATION_NUM_IST_TE,MATCH(D46,PT_DIFFERENTIATION_IST_TE_ID,0))</f>
        <v>...</v>
      </c>
      <c r="T46" s="310" t="s">
        <v>403</v>
      </c>
      <c r="U46" s="300"/>
      <c r="V46" s="2242"/>
      <c r="W46" s="2243"/>
      <c r="X46" s="2243"/>
      <c r="Y46" s="2243"/>
      <c r="Z46" s="2243"/>
      <c r="AA46" s="2243"/>
      <c r="AB46" s="2243"/>
      <c r="AC46" s="2244"/>
      <c r="AD46" s="2242" t="str">
        <f>INDEX(PT_DIFFERENTIATION_IST_TE,MATCH(D46,PT_DIFFERENTIATION_IST_TE_ID,0))</f>
        <v/>
      </c>
      <c r="AE46" s="2243"/>
      <c r="AF46" s="2243"/>
      <c r="AG46" s="2243"/>
      <c r="AH46" s="2243"/>
      <c r="AI46" s="2243"/>
      <c r="AJ46" s="2243"/>
      <c r="AK46" s="2243"/>
      <c r="AL46" s="2244"/>
      <c r="AM46" s="1258" t="s">
        <v>404</v>
      </c>
      <c r="AO46" s="500"/>
      <c r="AP46" s="500" t="str">
        <f>IF(T46="","",T46)</f>
        <v>Источник тепловой энергии  </v>
      </c>
      <c r="AQ46" s="500"/>
      <c r="AR46" s="500"/>
      <c r="AS46" s="1155">
        <v>21</v>
      </c>
    </row>
    <row s="1642" customFormat="1" customHeight="1" ht="0">
      <c r="A47" s="1343" t="s">
        <v>184</v>
      </c>
      <c r="B47" s="1343" t="s">
        <v>185</v>
      </c>
      <c r="C47" s="1343" t="s">
        <v>186</v>
      </c>
      <c r="D47" s="1343" t="s">
        <v>187</v>
      </c>
      <c r="E47" s="2259"/>
      <c r="F47" s="2259"/>
      <c r="G47" s="2259"/>
      <c r="H47" s="2259"/>
      <c r="I47" s="2256" t="str">
        <f>S46&amp;".1"</f>
        <v>....1</v>
      </c>
      <c r="J47" s="1343"/>
      <c r="K47" s="1343"/>
      <c r="L47" s="1346" t="s">
        <v>405</v>
      </c>
      <c r="M47" s="510"/>
      <c r="N47" s="510"/>
      <c r="O47" s="510"/>
      <c r="P47" s="2257">
        <v>1</v>
      </c>
      <c r="Q47" s="1331"/>
      <c r="R47" s="356"/>
      <c r="S47" s="1042"/>
      <c r="T47" s="1383"/>
      <c r="U47" s="1384"/>
      <c r="V47" s="2296"/>
      <c r="W47" s="2297"/>
      <c r="X47" s="2297"/>
      <c r="Y47" s="2297"/>
      <c r="Z47" s="2297"/>
      <c r="AA47" s="2297"/>
      <c r="AB47" s="2297"/>
      <c r="AC47" s="2298"/>
      <c r="AD47" s="2296"/>
      <c r="AE47" s="2297"/>
      <c r="AF47" s="2297"/>
      <c r="AG47" s="2297"/>
      <c r="AH47" s="2297"/>
      <c r="AI47" s="2297"/>
      <c r="AJ47" s="2297"/>
      <c r="AK47" s="2297"/>
      <c r="AL47" s="2298"/>
      <c r="AM47" s="1385"/>
      <c r="AO47" s="500"/>
      <c r="AP47" s="500" t="str">
        <f>IF(T47="","",T47)</f>
        <v/>
      </c>
      <c r="AQ47" s="500"/>
      <c r="AR47" s="500"/>
      <c r="AS47" s="511">
        <v>0</v>
      </c>
    </row>
    <row customHeight="1" ht="22.049999999999997">
      <c r="A48" s="1363" t="s">
        <v>184</v>
      </c>
      <c r="B48" s="1363" t="s">
        <v>185</v>
      </c>
      <c r="C48" s="1363" t="s">
        <v>186</v>
      </c>
      <c r="D48" s="1363" t="s">
        <v>187</v>
      </c>
      <c r="E48" s="2259"/>
      <c r="F48" s="2259"/>
      <c r="G48" s="2259"/>
      <c r="H48" s="2259"/>
      <c r="I48" s="2286"/>
      <c r="J48" s="2256" t="str">
        <f>S46&amp;".1"</f>
        <v>....1</v>
      </c>
      <c r="K48" s="1363"/>
      <c r="L48" s="1364" t="s">
        <v>408</v>
      </c>
      <c r="P48" s="2257"/>
      <c r="Q48" s="2257">
        <v>1</v>
      </c>
      <c r="R48" s="357"/>
      <c r="S48" s="1336" t="str">
        <f>$J48</f>
        <v>....1</v>
      </c>
      <c r="T48" s="286" t="s">
        <v>409</v>
      </c>
      <c r="U48" s="300"/>
      <c r="V48" s="2245"/>
      <c r="W48" s="2246"/>
      <c r="X48" s="2246"/>
      <c r="Y48" s="2246"/>
      <c r="Z48" s="2246"/>
      <c r="AA48" s="2246"/>
      <c r="AB48" s="2246"/>
      <c r="AC48" s="2247"/>
      <c r="AD48" s="2245"/>
      <c r="AE48" s="2246"/>
      <c r="AF48" s="2246"/>
      <c r="AG48" s="2246"/>
      <c r="AH48" s="2246"/>
      <c r="AI48" s="2246"/>
      <c r="AJ48" s="2246"/>
      <c r="AK48" s="2246"/>
      <c r="AL48" s="2247"/>
      <c r="AM48" s="1258" t="s">
        <v>410</v>
      </c>
      <c r="AO48" s="500"/>
      <c r="AP48" s="500" t="str">
        <f>IF(T48="","",T48)</f>
        <v>Группа потребителей</v>
      </c>
      <c r="AQ48" s="500"/>
      <c r="AR48" s="500"/>
      <c r="AS48" s="1155">
        <v>21</v>
      </c>
    </row>
    <row customHeight="1" ht="22.049999999999997">
      <c r="A49" s="1363" t="s">
        <v>184</v>
      </c>
      <c r="B49" s="1363" t="s">
        <v>185</v>
      </c>
      <c r="C49" s="1363" t="s">
        <v>186</v>
      </c>
      <c r="D49" s="1363" t="s">
        <v>187</v>
      </c>
      <c r="E49" s="2259"/>
      <c r="F49" s="2259"/>
      <c r="G49" s="2259"/>
      <c r="H49" s="2259"/>
      <c r="I49" s="2286"/>
      <c r="J49" s="2286"/>
      <c r="K49" s="2256" t="str">
        <f>J48&amp;".1"</f>
        <v>....1.1</v>
      </c>
      <c r="L49" s="1364" t="s">
        <v>411</v>
      </c>
      <c r="P49" s="2257"/>
      <c r="Q49" s="2257"/>
      <c r="R49" s="357">
        <v>1</v>
      </c>
      <c r="S49" s="1336" t="str">
        <f>$K49</f>
        <v>....1.1</v>
      </c>
      <c r="T49" s="1347"/>
      <c r="U49" s="300"/>
      <c r="V49" s="751"/>
      <c r="W49" s="325"/>
      <c r="X49" s="751"/>
      <c r="Y49" s="1257"/>
      <c r="Z49" s="2265"/>
      <c r="AA49" s="2107" t="s">
        <v>66</v>
      </c>
      <c r="AB49" s="2265"/>
      <c r="AC49" s="2107" t="s">
        <v>66</v>
      </c>
      <c r="AD49" s="751"/>
      <c r="AE49" s="325"/>
      <c r="AF49" s="751"/>
      <c r="AG49" s="1257"/>
      <c r="AH49" s="2265"/>
      <c r="AI49" s="2107" t="s">
        <v>66</v>
      </c>
      <c r="AJ49" s="2287"/>
      <c r="AK49" s="2107" t="s">
        <v>66</v>
      </c>
      <c r="AL49" s="1348"/>
      <c r="AM49" s="2253" t="s">
        <v>453</v>
      </c>
      <c r="AN49" s="511">
        <f>STRCHECKDATE(V50:AL50)</f>
      </c>
      <c r="AO49" s="500"/>
      <c r="AP49" s="500" t="str">
        <f>IF(T49="","",T49)</f>
        <v/>
      </c>
      <c r="AQ49" s="500"/>
      <c r="AR49" s="500"/>
      <c r="AS49" s="1155">
        <v>21</v>
      </c>
    </row>
    <row customHeight="1" ht="1.05">
      <c r="A50" s="1363" t="s">
        <v>184</v>
      </c>
      <c r="B50" s="1363" t="s">
        <v>185</v>
      </c>
      <c r="C50" s="1363" t="s">
        <v>186</v>
      </c>
      <c r="D50" s="1363" t="s">
        <v>187</v>
      </c>
      <c r="E50" s="2259"/>
      <c r="F50" s="2259"/>
      <c r="G50" s="2259"/>
      <c r="H50" s="2259"/>
      <c r="I50" s="2286"/>
      <c r="J50" s="2286"/>
      <c r="K50" s="2256"/>
      <c r="L50" s="1364"/>
      <c r="P50" s="2257"/>
      <c r="Q50" s="2257"/>
      <c r="R50" s="357"/>
      <c r="S50" s="1342"/>
      <c r="T50" s="300"/>
      <c r="U50" s="300"/>
      <c r="V50" s="325"/>
      <c r="W50" s="325"/>
      <c r="X50" s="325"/>
      <c r="Y50" s="328" t="str">
        <f>Z49&amp;"-"&amp;AB49</f>
        <v>-</v>
      </c>
      <c r="Z50" s="2266"/>
      <c r="AA50" s="2107"/>
      <c r="AB50" s="2266"/>
      <c r="AC50" s="2107"/>
      <c r="AD50" s="325"/>
      <c r="AE50" s="325"/>
      <c r="AF50" s="325"/>
      <c r="AG50" s="328" t="str">
        <f>AH49&amp;"-"&amp;AJ49</f>
        <v>-</v>
      </c>
      <c r="AH50" s="2266"/>
      <c r="AI50" s="2107"/>
      <c r="AJ50" s="2288"/>
      <c r="AK50" s="2107"/>
      <c r="AL50" s="1349"/>
      <c r="AM50" s="2254"/>
      <c r="AO50" s="500"/>
      <c r="AP50" s="500" t="str">
        <f>IF(T50="","",T50)</f>
        <v/>
      </c>
      <c r="AQ50" s="500"/>
      <c r="AR50" s="500"/>
      <c r="AS50" s="1155">
        <v>1</v>
      </c>
    </row>
    <row customHeight="1" ht="11.549999999999999">
      <c r="A51" s="1363" t="s">
        <v>184</v>
      </c>
      <c r="B51" s="1363" t="s">
        <v>185</v>
      </c>
      <c r="C51" s="1363" t="s">
        <v>186</v>
      </c>
      <c r="D51" s="1363" t="s">
        <v>187</v>
      </c>
      <c r="E51" s="2259"/>
      <c r="F51" s="2259"/>
      <c r="G51" s="2259"/>
      <c r="H51" s="2259"/>
      <c r="I51" s="2286"/>
      <c r="J51" s="2256"/>
      <c r="K51" s="1363"/>
      <c r="L51" s="1364"/>
      <c r="P51" s="2257"/>
      <c r="Q51" s="2257"/>
      <c r="R51" s="356"/>
      <c r="S51" s="1278"/>
      <c r="T51" s="287" t="s">
        <v>413</v>
      </c>
      <c r="U51" s="367"/>
      <c r="V51" s="367"/>
      <c r="W51" s="367"/>
      <c r="X51" s="367"/>
      <c r="Y51" s="367"/>
      <c r="Z51" s="367"/>
      <c r="AA51" s="367"/>
      <c r="AB51" s="367"/>
      <c r="AC51" s="367"/>
      <c r="AD51" s="367"/>
      <c r="AE51" s="367"/>
      <c r="AF51" s="367"/>
      <c r="AG51" s="367"/>
      <c r="AH51" s="367"/>
      <c r="AI51" s="367"/>
      <c r="AJ51" s="367"/>
      <c r="AK51" s="367"/>
      <c r="AL51" s="324"/>
      <c r="AM51" s="2255"/>
      <c r="AO51" s="500"/>
      <c r="AP51" s="500" t="str">
        <f>IF(T51="","",T51)</f>
        <v>Добавить вид теплоносителя (параметры теплоносителя)</v>
      </c>
      <c r="AQ51" s="500"/>
      <c r="AR51" s="500"/>
      <c r="AS51" s="1155">
        <v>11</v>
      </c>
    </row>
    <row customHeight="1" ht="11.549999999999999">
      <c r="A52" s="1363" t="s">
        <v>184</v>
      </c>
      <c r="B52" s="1363" t="s">
        <v>185</v>
      </c>
      <c r="C52" s="1363" t="s">
        <v>186</v>
      </c>
      <c r="D52" s="1363" t="s">
        <v>187</v>
      </c>
      <c r="E52" s="2259"/>
      <c r="F52" s="2259"/>
      <c r="G52" s="2259"/>
      <c r="H52" s="2259"/>
      <c r="I52" s="2256"/>
      <c r="J52" s="1363"/>
      <c r="K52" s="1363"/>
      <c r="L52" s="1364"/>
      <c r="P52" s="2257"/>
      <c r="Q52" s="1331"/>
      <c r="R52" s="356"/>
      <c r="S52" s="1278"/>
      <c r="T52" s="365" t="s">
        <v>414</v>
      </c>
      <c r="U52" s="367"/>
      <c r="V52" s="367"/>
      <c r="W52" s="367"/>
      <c r="X52" s="367"/>
      <c r="Y52" s="367"/>
      <c r="Z52" s="367"/>
      <c r="AA52" s="367"/>
      <c r="AB52" s="367"/>
      <c r="AC52" s="366"/>
      <c r="AD52" s="367"/>
      <c r="AE52" s="367"/>
      <c r="AF52" s="367"/>
      <c r="AG52" s="367"/>
      <c r="AH52" s="367"/>
      <c r="AI52" s="367"/>
      <c r="AJ52" s="367"/>
      <c r="AK52" s="366"/>
      <c r="AL52" s="367"/>
      <c r="AM52" s="303"/>
      <c r="AO52" s="500"/>
      <c r="AP52" s="500" t="str">
        <f>IF(T52="","",T52)</f>
        <v>Добавить группу потребителей</v>
      </c>
      <c r="AQ52" s="500"/>
      <c r="AR52" s="500"/>
      <c r="AS52" s="1155">
        <v>11</v>
      </c>
    </row>
    <row customHeight="1" ht="0">
      <c r="A53" s="1363" t="s">
        <v>184</v>
      </c>
      <c r="B53" s="1363" t="s">
        <v>185</v>
      </c>
      <c r="C53" s="1363" t="s">
        <v>186</v>
      </c>
      <c r="D53" s="1363" t="s">
        <v>187</v>
      </c>
      <c r="E53" s="2259"/>
      <c r="F53" s="2259"/>
      <c r="G53" s="2259"/>
      <c r="H53" s="2258"/>
      <c r="I53" s="1363"/>
      <c r="J53" s="1363"/>
      <c r="K53" s="1363"/>
      <c r="L53" s="1364"/>
      <c r="M53" s="1365"/>
      <c r="N53" s="1365"/>
      <c r="O53" s="537"/>
      <c r="P53" s="360"/>
      <c r="Q53" s="375"/>
      <c r="R53" s="355"/>
      <c r="S53" s="1386"/>
      <c r="T53" s="1387"/>
      <c r="U53" s="1388"/>
      <c r="V53" s="1388"/>
      <c r="W53" s="1388"/>
      <c r="X53" s="1388"/>
      <c r="Y53" s="1388"/>
      <c r="Z53" s="1388"/>
      <c r="AA53" s="1388"/>
      <c r="AB53" s="1388"/>
      <c r="AC53" s="1388"/>
      <c r="AD53" s="1388"/>
      <c r="AE53" s="1388"/>
      <c r="AF53" s="1388"/>
      <c r="AG53" s="1388"/>
      <c r="AH53" s="1388"/>
      <c r="AI53" s="1388"/>
      <c r="AJ53" s="1388"/>
      <c r="AK53" s="1388"/>
      <c r="AL53" s="1388"/>
      <c r="AM53" s="1389"/>
      <c r="AO53" s="500"/>
      <c r="AP53" s="500" t="str">
        <f>IF(T53="","",T53)</f>
        <v/>
      </c>
      <c r="AQ53" s="500"/>
      <c r="AR53" s="500"/>
      <c r="AS53" s="1155">
        <v>0</v>
      </c>
    </row>
    <row s="1642" customFormat="1" customHeight="1" ht="1.05">
      <c r="A54" s="1343" t="s">
        <v>184</v>
      </c>
      <c r="B54" s="1343" t="s">
        <v>185</v>
      </c>
      <c r="C54" s="1343" t="s">
        <v>186</v>
      </c>
      <c r="D54" s="1314"/>
      <c r="E54" s="2259"/>
      <c r="F54" s="2259"/>
      <c r="G54" s="2258"/>
      <c r="H54" s="1314"/>
      <c r="I54" s="1314"/>
      <c r="J54" s="1314"/>
      <c r="K54" s="1314"/>
      <c r="L54" s="1339"/>
      <c r="M54" s="1315"/>
      <c r="N54" s="1315"/>
      <c r="P54" s="1316"/>
      <c r="Q54" s="1317"/>
      <c r="R54" s="1316"/>
      <c r="S54" s="1322"/>
      <c r="T54" s="1325" t="s">
        <v>416</v>
      </c>
      <c r="U54" s="1324"/>
      <c r="V54" s="1324"/>
      <c r="W54" s="1324"/>
      <c r="X54" s="1324"/>
      <c r="Y54" s="1324"/>
      <c r="Z54" s="1324"/>
      <c r="AA54" s="1324"/>
      <c r="AB54" s="1324"/>
      <c r="AC54" s="1324"/>
      <c r="AD54" s="1324"/>
      <c r="AE54" s="1324"/>
      <c r="AF54" s="1324"/>
      <c r="AG54" s="1324"/>
      <c r="AH54" s="1324"/>
      <c r="AI54" s="1324"/>
      <c r="AJ54" s="1324"/>
      <c r="AK54" s="1324"/>
      <c r="AL54" s="1324"/>
      <c r="AM54" s="1324"/>
      <c r="AO54" s="789"/>
      <c r="AP54" s="789" t="str">
        <f>IF(T54="","",T54)</f>
        <v>Добавить источник для дифференциации</v>
      </c>
      <c r="AQ54" s="789"/>
      <c r="AR54" s="789"/>
      <c r="AS54" s="518">
        <v>1</v>
      </c>
    </row>
    <row s="1642" customFormat="1" customHeight="1" ht="1.05">
      <c r="A55" s="1343" t="s">
        <v>184</v>
      </c>
      <c r="B55" s="1343" t="s">
        <v>185</v>
      </c>
      <c r="C55" s="1314"/>
      <c r="D55" s="1314"/>
      <c r="E55" s="2259"/>
      <c r="F55" s="2258"/>
      <c r="G55" s="1314"/>
      <c r="H55" s="1314"/>
      <c r="I55" s="1314"/>
      <c r="J55" s="1314"/>
      <c r="K55" s="1314"/>
      <c r="L55" s="1339"/>
      <c r="M55" s="1321"/>
      <c r="N55" s="1321"/>
      <c r="P55" s="1316"/>
      <c r="Q55" s="1317"/>
      <c r="R55" s="1316"/>
      <c r="S55" s="1322"/>
      <c r="T55" s="1325" t="s">
        <v>417</v>
      </c>
      <c r="U55" s="1324"/>
      <c r="V55" s="1324"/>
      <c r="W55" s="1324"/>
      <c r="X55" s="1324"/>
      <c r="Y55" s="1324"/>
      <c r="Z55" s="1324"/>
      <c r="AA55" s="1324"/>
      <c r="AB55" s="1324"/>
      <c r="AC55" s="1324"/>
      <c r="AD55" s="1324"/>
      <c r="AE55" s="1324"/>
      <c r="AF55" s="1324"/>
      <c r="AG55" s="1324"/>
      <c r="AH55" s="1324"/>
      <c r="AI55" s="1324"/>
      <c r="AJ55" s="1324"/>
      <c r="AK55" s="1324"/>
      <c r="AL55" s="1324"/>
      <c r="AM55" s="1324"/>
      <c r="AO55" s="789"/>
      <c r="AP55" s="789" t="str">
        <f>IF(T55="","",T55)</f>
        <v>Добавить централизованную систему для дифференциации</v>
      </c>
      <c r="AQ55" s="789"/>
      <c r="AR55" s="789"/>
      <c r="AS55" s="518">
        <v>1</v>
      </c>
    </row>
    <row s="1642" customFormat="1" customHeight="1" ht="1.05">
      <c r="A56" s="1343" t="s">
        <v>184</v>
      </c>
      <c r="B56" s="1343"/>
      <c r="C56" s="1343"/>
      <c r="D56" s="1343"/>
      <c r="E56" s="2258"/>
      <c r="F56" s="1343"/>
      <c r="G56" s="1343"/>
      <c r="H56" s="1343"/>
      <c r="I56" s="1343"/>
      <c r="J56" s="1343"/>
      <c r="K56" s="1343"/>
      <c r="L56" s="1346"/>
      <c r="M56" s="1321"/>
      <c r="N56" s="1321"/>
      <c r="O56" s="518"/>
      <c r="P56" s="380"/>
      <c r="Q56" s="1344"/>
      <c r="R56" s="380"/>
      <c r="S56" s="1322"/>
      <c r="T56" s="1325" t="s">
        <v>418</v>
      </c>
      <c r="U56" s="1324"/>
      <c r="V56" s="1324"/>
      <c r="W56" s="1324"/>
      <c r="X56" s="1324"/>
      <c r="Y56" s="1324"/>
      <c r="Z56" s="1324"/>
      <c r="AA56" s="1324"/>
      <c r="AB56" s="1324"/>
      <c r="AC56" s="1324"/>
      <c r="AD56" s="1324"/>
      <c r="AE56" s="1324"/>
      <c r="AF56" s="1324"/>
      <c r="AG56" s="1324"/>
      <c r="AH56" s="1324"/>
      <c r="AI56" s="1324"/>
      <c r="AJ56" s="1324"/>
      <c r="AK56" s="1324"/>
      <c r="AL56" s="1324"/>
      <c r="AM56" s="1324"/>
      <c r="AO56" s="500"/>
      <c r="AP56" s="500" t="str">
        <f>IF(T56="","",T56)</f>
        <v>Добавить территорию для дифференциации</v>
      </c>
      <c r="AQ56" s="500"/>
      <c r="AR56" s="500"/>
      <c r="AS56" s="511">
        <v>1</v>
      </c>
    </row>
    <row s="1642" customFormat="1" customHeight="1" ht="1.05">
      <c r="A57" s="1314"/>
      <c r="B57" s="1314"/>
      <c r="C57" s="1314"/>
      <c r="D57" s="1314"/>
      <c r="E57" s="1343"/>
      <c r="F57" s="1314"/>
      <c r="G57" s="1314"/>
      <c r="H57" s="1314"/>
      <c r="I57" s="1314"/>
      <c r="J57" s="1314"/>
      <c r="K57" s="1314"/>
      <c r="L57" s="1339"/>
      <c r="M57" s="1321"/>
      <c r="N57" s="1321"/>
      <c r="P57" s="1316"/>
      <c r="Q57" s="1317"/>
      <c r="R57" s="1316"/>
      <c r="S57" s="1322"/>
      <c r="T57" s="1325" t="s">
        <v>450</v>
      </c>
      <c r="U57" s="1324"/>
      <c r="V57" s="1324"/>
      <c r="W57" s="1324"/>
      <c r="X57" s="1324"/>
      <c r="Y57" s="1324"/>
      <c r="Z57" s="1324"/>
      <c r="AA57" s="1324"/>
      <c r="AB57" s="1324"/>
      <c r="AC57" s="1324"/>
      <c r="AD57" s="1324"/>
      <c r="AE57" s="1324"/>
      <c r="AF57" s="1324"/>
      <c r="AG57" s="1324"/>
      <c r="AH57" s="1324"/>
      <c r="AI57" s="1324"/>
      <c r="AJ57" s="1324"/>
      <c r="AK57" s="1324"/>
      <c r="AL57" s="1324"/>
      <c r="AM57" s="1324"/>
      <c r="AO57" s="789"/>
      <c r="AP57" s="789" t="str">
        <f>IF(T57="","",T57)</f>
        <v>Добавить наименование тарифа</v>
      </c>
      <c r="AQ57" s="789"/>
      <c r="AR57" s="789"/>
      <c r="AS57" s="518">
        <v>1</v>
      </c>
    </row>
    <row customHeight="1" ht="11.549999999999999">
      <c r="M58" s="1160"/>
      <c r="N58" s="1160"/>
      <c r="O58" s="537"/>
      <c r="P58" s="1155"/>
      <c r="Q58" s="1155"/>
      <c r="R58" s="1155"/>
      <c r="S58" s="1155"/>
      <c r="AN58" s="1155"/>
      <c r="AO58" s="1155"/>
      <c r="AP58" s="1155"/>
      <c r="AQ58" s="1155"/>
      <c r="AR58" s="1155"/>
      <c r="AS58" s="1155">
        <v>11</v>
      </c>
    </row>
    <row customHeight="1" ht="23.25">
      <c r="O59" s="537"/>
      <c r="S59" s="1253"/>
      <c r="T59" s="2285"/>
      <c r="U59" s="2285"/>
      <c r="V59" s="2285"/>
      <c r="W59" s="2285"/>
      <c r="X59" s="2285"/>
      <c r="Y59" s="2285"/>
      <c r="Z59" s="2285"/>
      <c r="AA59" s="2285"/>
      <c r="AB59" s="2285"/>
      <c r="AC59" s="2285"/>
      <c r="AD59" s="2285"/>
      <c r="AE59" s="2285"/>
      <c r="AF59" s="2285"/>
      <c r="AG59" s="2285"/>
      <c r="AH59" s="2285"/>
      <c r="AI59" s="2285"/>
      <c r="AJ59" s="2285"/>
      <c r="AK59" s="2285"/>
      <c r="AL59" s="2285"/>
      <c r="AM59" s="2285"/>
      <c r="AS59" s="1155">
        <v>22</v>
      </c>
    </row>
    <row customHeight="1" ht="30.45">
      <c r="O60" s="537"/>
      <c r="T60" s="2285"/>
      <c r="U60" s="2285"/>
      <c r="V60" s="2285"/>
      <c r="W60" s="2285"/>
      <c r="X60" s="2285"/>
      <c r="Y60" s="2285"/>
      <c r="Z60" s="2285"/>
      <c r="AA60" s="2285"/>
      <c r="AB60" s="2285"/>
      <c r="AC60" s="2285"/>
      <c r="AD60" s="2285"/>
      <c r="AE60" s="2285"/>
      <c r="AF60" s="2285"/>
      <c r="AG60" s="2285"/>
      <c r="AH60" s="2285"/>
      <c r="AI60" s="2285"/>
      <c r="AJ60" s="2285"/>
      <c r="AK60" s="2285"/>
      <c r="AL60" s="2285"/>
      <c r="AM60" s="2285"/>
      <c r="AS60" s="1155">
        <v>29</v>
      </c>
    </row>
    <row customHeight="1" ht="42">
      <c r="O61" s="537"/>
      <c r="T61" s="2285"/>
      <c r="U61" s="2285"/>
      <c r="V61" s="2285"/>
      <c r="W61" s="2285"/>
      <c r="X61" s="2285"/>
      <c r="Y61" s="2285"/>
      <c r="Z61" s="2285"/>
      <c r="AA61" s="2285"/>
      <c r="AB61" s="2285"/>
      <c r="AC61" s="2285"/>
      <c r="AD61" s="2285"/>
      <c r="AE61" s="2285"/>
      <c r="AF61" s="2285"/>
      <c r="AG61" s="2285"/>
      <c r="AH61" s="2285"/>
      <c r="AI61" s="2285"/>
      <c r="AJ61" s="2285"/>
      <c r="AK61" s="2285"/>
      <c r="AL61" s="2285"/>
      <c r="AM61" s="2285"/>
      <c r="AS61" s="1155">
        <v>40</v>
      </c>
    </row>
    <row customHeight="1" ht="14.699999999999998">
      <c r="O62" s="537"/>
      <c r="AS62" s="1155">
        <v>14</v>
      </c>
    </row>
    <row customHeight="1" ht="21">
      <c r="O63" s="537"/>
      <c r="S63" s="1253"/>
      <c r="T63" s="2299"/>
      <c r="U63" s="2285"/>
      <c r="V63" s="2285"/>
      <c r="W63" s="2285"/>
      <c r="X63" s="2285"/>
      <c r="Y63" s="2285"/>
      <c r="Z63" s="2285"/>
      <c r="AA63" s="2285"/>
      <c r="AB63" s="2285"/>
      <c r="AC63" s="2285"/>
      <c r="AD63" s="2285"/>
      <c r="AE63" s="2285"/>
      <c r="AF63" s="2285"/>
      <c r="AG63" s="2285"/>
      <c r="AH63" s="2285"/>
      <c r="AI63" s="2285"/>
      <c r="AJ63" s="2285"/>
      <c r="AK63" s="2285"/>
      <c r="AL63" s="2285"/>
      <c r="AM63" s="2285"/>
      <c r="AS63" s="1155">
        <v>20</v>
      </c>
    </row>
    <row customHeight="1" ht="29.25">
      <c r="O64" s="537"/>
      <c r="T64" s="2285"/>
      <c r="U64" s="2285"/>
      <c r="V64" s="2285"/>
      <c r="W64" s="2285"/>
      <c r="X64" s="2285"/>
      <c r="Y64" s="2285"/>
      <c r="Z64" s="2285"/>
      <c r="AA64" s="2285"/>
      <c r="AB64" s="2285"/>
      <c r="AC64" s="2285"/>
      <c r="AD64" s="2285"/>
      <c r="AE64" s="2285"/>
      <c r="AF64" s="2285"/>
      <c r="AG64" s="2285"/>
      <c r="AH64" s="2285"/>
      <c r="AI64" s="2285"/>
      <c r="AJ64" s="2285"/>
      <c r="AK64" s="2285"/>
      <c r="AL64" s="2285"/>
      <c r="AM64" s="2285"/>
      <c r="AS64" s="1155">
        <v>28</v>
      </c>
    </row>
    <row customHeight="1" ht="35.699999999999996">
      <c r="T65" s="2285"/>
      <c r="U65" s="2285"/>
      <c r="V65" s="2285"/>
      <c r="W65" s="2285"/>
      <c r="X65" s="2285"/>
      <c r="Y65" s="2285"/>
      <c r="Z65" s="2285"/>
      <c r="AA65" s="2285"/>
      <c r="AB65" s="2285"/>
      <c r="AC65" s="2285"/>
      <c r="AD65" s="2285"/>
      <c r="AE65" s="2285"/>
      <c r="AF65" s="2285"/>
      <c r="AG65" s="2285"/>
      <c r="AH65" s="2285"/>
      <c r="AI65" s="2285"/>
      <c r="AJ65" s="2285"/>
      <c r="AK65" s="2285"/>
      <c r="AL65" s="2285"/>
      <c r="AM65" s="2285"/>
      <c r="AS65" s="1155">
        <v>34</v>
      </c>
    </row>
    <row customHeight="1" ht="22.5" hidden="1">
      <c r="A66" s="1160" t="s">
        <v>82</v>
      </c>
      <c r="B66" s="1160">
        <v>0</v>
      </c>
      <c r="C66" s="1160">
        <v>0</v>
      </c>
      <c r="D66" s="1160">
        <v>0</v>
      </c>
      <c r="E66" s="1160">
        <v>0</v>
      </c>
      <c r="F66" s="1160">
        <v>0</v>
      </c>
      <c r="G66" s="1160">
        <v>0</v>
      </c>
      <c r="H66" s="1160">
        <v>0</v>
      </c>
      <c r="I66" s="1160">
        <v>0</v>
      </c>
      <c r="J66" s="1160">
        <v>0</v>
      </c>
      <c r="K66" s="1160">
        <v>0</v>
      </c>
      <c r="L66" s="1329">
        <v>0</v>
      </c>
      <c r="M66" s="1362">
        <v>0</v>
      </c>
      <c r="N66" s="1362">
        <v>0</v>
      </c>
      <c r="O66" s="1362">
        <v>0</v>
      </c>
      <c r="P66" s="1328">
        <v>0</v>
      </c>
      <c r="Q66" s="344">
        <v>3</v>
      </c>
      <c r="R66" s="344">
        <v>3</v>
      </c>
      <c r="S66" s="581">
        <v>12</v>
      </c>
      <c r="T66" s="1155">
        <v>31</v>
      </c>
      <c r="U66" s="1155">
        <v>0</v>
      </c>
      <c r="V66" s="1155">
        <v>0</v>
      </c>
      <c r="W66" s="1155">
        <v>0</v>
      </c>
      <c r="X66" s="1155">
        <v>0</v>
      </c>
      <c r="Y66" s="1155">
        <v>0</v>
      </c>
      <c r="Z66" s="1155">
        <v>0</v>
      </c>
      <c r="AA66" s="1155">
        <v>0</v>
      </c>
      <c r="AB66" s="1155">
        <v>0</v>
      </c>
      <c r="AC66" s="1155">
        <v>0</v>
      </c>
      <c r="AD66" s="1155">
        <v>24</v>
      </c>
      <c r="AE66" s="1155">
        <v>0</v>
      </c>
      <c r="AF66" s="1155">
        <v>24</v>
      </c>
      <c r="AG66" s="1155">
        <v>24</v>
      </c>
      <c r="AH66" s="1155">
        <v>11</v>
      </c>
      <c r="AI66" s="1155">
        <v>3</v>
      </c>
      <c r="AJ66" s="1155">
        <v>11</v>
      </c>
      <c r="AK66" s="1155">
        <v>0</v>
      </c>
      <c r="AL66" s="1155">
        <v>4</v>
      </c>
      <c r="AM66" s="1155">
        <v>115</v>
      </c>
      <c r="AN66" s="511">
        <v>10</v>
      </c>
      <c r="AO66" s="511">
        <v>10</v>
      </c>
      <c r="AP66" s="511">
        <v>10</v>
      </c>
      <c r="AQ66" s="511">
        <v>10</v>
      </c>
      <c r="AR66" s="511">
        <v>10</v>
      </c>
      <c r="AS66" s="1155">
        <v>23</v>
      </c>
    </row>
  </sheetData>
  <sheetProtection formatColumns="0" formatRows="0" autoFilter="0" sort="0" insertRows="0" insertColumns="1" deleteRows="0" deleteColumns="0"/>
  <mergeCells count="113">
    <mergeCell ref="T63:AM63"/>
    <mergeCell ref="T64:AM64"/>
    <mergeCell ref="T65:AM65"/>
    <mergeCell ref="AM49:AM51"/>
    <mergeCell ref="T59:AM59"/>
    <mergeCell ref="T60:AM60"/>
    <mergeCell ref="T61:AM61"/>
    <mergeCell ref="J48:J51"/>
    <mergeCell ref="Q48:Q51"/>
    <mergeCell ref="V48:AC48"/>
    <mergeCell ref="AD48:AL48"/>
    <mergeCell ref="K49:K50"/>
    <mergeCell ref="Z49:Z50"/>
    <mergeCell ref="AA49:AA50"/>
    <mergeCell ref="AB49:AB50"/>
    <mergeCell ref="AC49:AC50"/>
    <mergeCell ref="AH49:AH50"/>
    <mergeCell ref="AI49:AI50"/>
    <mergeCell ref="AJ49:AJ50"/>
    <mergeCell ref="AK49:AK50"/>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V47:AC47"/>
    <mergeCell ref="AD47:AL47"/>
    <mergeCell ref="AH40:AJ40"/>
    <mergeCell ref="AA41:AB41"/>
    <mergeCell ref="AI41:AJ41"/>
    <mergeCell ref="AA42:AB42"/>
    <mergeCell ref="AI42:AJ42"/>
    <mergeCell ref="S38:AL38"/>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E40:AE41"/>
    <mergeCell ref="AF40:AG40"/>
    <mergeCell ref="S32:T32"/>
    <mergeCell ref="V32:AB32"/>
    <mergeCell ref="AD32:AJ32"/>
    <mergeCell ref="V37:AC37"/>
    <mergeCell ref="AD37:AK37"/>
    <mergeCell ref="S34:T34"/>
    <mergeCell ref="V34:AB34"/>
    <mergeCell ref="AD34:AJ34"/>
    <mergeCell ref="S35:T35"/>
    <mergeCell ref="V35:AB35"/>
    <mergeCell ref="AD35:AJ35"/>
    <mergeCell ref="S30:T30"/>
    <mergeCell ref="V30:AB30"/>
    <mergeCell ref="AD30:AJ30"/>
    <mergeCell ref="S31:T31"/>
    <mergeCell ref="V31:AB31"/>
    <mergeCell ref="AD31:AJ31"/>
    <mergeCell ref="S26:AJ26"/>
    <mergeCell ref="S27:AJ27"/>
    <mergeCell ref="S29:T29"/>
    <mergeCell ref="V29:AB29"/>
    <mergeCell ref="AD29:AJ29"/>
    <mergeCell ref="AM8:AM10"/>
    <mergeCell ref="AH17:AH18"/>
    <mergeCell ref="AI17:AI18"/>
    <mergeCell ref="AJ17:AJ18"/>
    <mergeCell ref="AK17:AK18"/>
    <mergeCell ref="J7:J10"/>
    <mergeCell ref="Q7:Q10"/>
    <mergeCell ref="V7:AC7"/>
    <mergeCell ref="AD7:AL7"/>
    <mergeCell ref="K8:K9"/>
    <mergeCell ref="Z8:Z9"/>
    <mergeCell ref="AA8:AA9"/>
    <mergeCell ref="AB8:AB9"/>
    <mergeCell ref="AC8:AC9"/>
    <mergeCell ref="AH8:AH9"/>
    <mergeCell ref="AI8:AI9"/>
    <mergeCell ref="AJ8:AJ9"/>
    <mergeCell ref="AK8:AK9"/>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s>
  <dataValidations count="8">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Y50 AG18 AG5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49 AK524337 AK8 AK589873 AK655409 AK17 AK720945 AK786481 AK852017 AK917553 AK983089 AK65585 AK131121 AK458801 AK196657 AI49 AK262193 AI8 AC8 AA8 AI17 AK327729 AA49 AC49 AK393265"/>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99E25D7-FFF7-BD46-10FB-30D4C5F9B7DB}" mc:Ignorable="x14ac xr xr2 xr3">
  <sheetPr>
    <tabColor theme="6" tint="0.4"/>
  </sheetPr>
  <dimension ref="A1:AS66"/>
  <sheetViews>
    <sheetView showGridLines="0" zoomScale="90" workbookViewId="0">
      <pane xSplit="29" ySplit="42" topLeftCell="AD43" activePane="bottomRight" state="frozen"/>
      <selection pane="bottomLeft" activeCell="A43" sqref="A43"/>
      <selection pane="topRight" activeCell="AD1" sqref="AD1"/>
      <selection pane="bottomRight" activeCell="A1" sqref="A1"/>
    </sheetView>
  </sheetViews>
  <sheetFormatPr defaultColWidth="10.57421875" customHeight="1" defaultRowHeight="14.25"/>
  <cols>
    <col min="1" max="1" style="1366" width="10.57421875" hidden="1"/>
    <col min="2" max="2" style="1366" width="11.00390625" hidden="1" customWidth="1"/>
    <col min="3" max="3" style="1366" width="10.57421875" hidden="1"/>
    <col min="4" max="4" style="1366" width="11.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2.00390625" hidden="1" customWidth="1"/>
    <col min="10" max="10" style="1366" width="9.8515625" hidden="1" customWidth="1"/>
    <col min="11" max="11" style="1366" width="11.421875" hidden="1" customWidth="1"/>
    <col min="12" max="12" style="2607" width="19.140625" hidden="1" customWidth="1"/>
    <col min="13" max="14" style="1776" width="12.28125" hidden="1" customWidth="1"/>
    <col min="15" max="15" style="1776" width="23.421875" hidden="1" customWidth="1"/>
    <col min="16" max="16" style="2397" width="3.7109375" hidden="1" customWidth="1"/>
    <col min="17" max="18" style="344" width="3.00390625" customWidth="1"/>
    <col min="19" max="19" style="2407" width="12.00390625" customWidth="1"/>
    <col min="20" max="20" style="1635" width="31.00390625" customWidth="1"/>
    <col min="21" max="21" style="1635" width="0.140625" customWidth="1"/>
    <col min="22" max="22" style="1635" width="24.7109375" hidden="1" customWidth="1"/>
    <col min="23" max="23" style="1635" width="0.140625" hidden="1" customWidth="1"/>
    <col min="24" max="25" style="1635" width="24.7109375" hidden="1" customWidth="1"/>
    <col min="26" max="26" style="1635" width="11.7109375" hidden="1" customWidth="1"/>
    <col min="27" max="27" style="1635" width="3.7109375" hidden="1" customWidth="1"/>
    <col min="28" max="28" style="1635" width="11.7109375" hidden="1" customWidth="1"/>
    <col min="29" max="29" style="1635" width="8.57421875" hidden="1" customWidth="1"/>
    <col min="30" max="30" style="1635" width="24.7109375" customWidth="1"/>
    <col min="31" max="31" style="1635" width="0.140625" customWidth="1"/>
    <col min="32" max="33" style="1635" width="24.00390625" customWidth="1"/>
    <col min="34" max="34" style="1635" width="11.00390625" customWidth="1"/>
    <col min="35" max="35" style="1635" width="3.7109375" customWidth="1"/>
    <col min="36" max="36" style="1635" width="11.00390625" customWidth="1"/>
    <col min="37" max="37" style="1635" width="8.57421875" hidden="1" customWidth="1"/>
    <col min="38" max="38" style="1635" width="4.00390625" customWidth="1"/>
    <col min="39" max="39" style="1635" width="115.00390625" customWidth="1"/>
    <col min="40" max="44" style="1642" width="10.00390625" customWidth="1"/>
    <col min="45" max="45" style="1635" width="10.57421875" hidden="1"/>
  </cols>
  <sheetData>
    <row customHeight="1" ht="22.5" hidden="1">
      <c r="Y1" s="327"/>
      <c r="Z1" s="327"/>
      <c r="AG1" s="327"/>
      <c r="AH1" s="327"/>
      <c r="AS1" s="1155" t="s">
        <v>14</v>
      </c>
    </row>
    <row customHeight="1" ht="21" hidden="1">
      <c r="A2" s="1363"/>
      <c r="B2" s="1363"/>
      <c r="C2" s="1363"/>
      <c r="D2" s="1363"/>
      <c r="E2" s="2258">
        <v>1</v>
      </c>
      <c r="F2" s="1363"/>
      <c r="G2" s="1363"/>
      <c r="H2" s="1363"/>
      <c r="I2" s="1363"/>
      <c r="J2" s="1363"/>
      <c r="K2" s="1363"/>
      <c r="L2" s="1364"/>
      <c r="M2" s="1365"/>
      <c r="N2" s="1365"/>
      <c r="O2" s="1365"/>
      <c r="P2" s="361"/>
      <c r="Q2" s="360"/>
      <c r="R2" s="355"/>
      <c r="S2" s="1336">
        <f>INDEX(PT_DIFFERENTIATION_NUM_NTAR,MATCH(A2,PT_DIFFERENTIATION_NTAR_ID,0))</f>
      </c>
      <c r="T2" s="298" t="s">
        <v>127</v>
      </c>
      <c r="U2" s="300"/>
      <c r="V2" s="2242"/>
      <c r="W2" s="2243"/>
      <c r="X2" s="2243"/>
      <c r="Y2" s="2243"/>
      <c r="Z2" s="2243"/>
      <c r="AA2" s="2243"/>
      <c r="AB2" s="2243"/>
      <c r="AC2" s="2244"/>
      <c r="AD2" s="2242">
        <f>INDEX(PT_DIFFERENTIATION_NTAR,MATCH(A2,PT_DIFFERENTIATION_NTAR_ID,0))</f>
      </c>
      <c r="AE2" s="2243"/>
      <c r="AF2" s="2243"/>
      <c r="AG2" s="2243"/>
      <c r="AH2" s="2243"/>
      <c r="AI2" s="2243"/>
      <c r="AJ2" s="2243"/>
      <c r="AK2" s="2243"/>
      <c r="AL2" s="2244"/>
      <c r="AM2" s="1258" t="s">
        <v>398</v>
      </c>
      <c r="AO2" s="500"/>
      <c r="AP2" s="500" t="str">
        <f>IF(T2="","",T2)</f>
        <v>Наименование тарифа</v>
      </c>
      <c r="AQ2" s="500"/>
      <c r="AR2" s="500"/>
      <c r="AS2" s="1155">
        <v>0</v>
      </c>
    </row>
    <row customHeight="1" ht="21" hidden="1">
      <c r="A3" s="1363"/>
      <c r="B3" s="1363"/>
      <c r="C3" s="1363"/>
      <c r="D3" s="1363"/>
      <c r="E3" s="2259"/>
      <c r="F3" s="2258">
        <v>1</v>
      </c>
      <c r="G3" s="1363"/>
      <c r="H3" s="1363"/>
      <c r="I3" s="1363"/>
      <c r="J3" s="1363"/>
      <c r="K3" s="1363"/>
      <c r="L3" s="1364"/>
      <c r="M3" s="1365"/>
      <c r="N3" s="1365"/>
      <c r="O3" s="1365"/>
      <c r="P3" s="1332"/>
      <c r="Q3" s="352"/>
      <c r="R3" s="353"/>
      <c r="S3" s="1336">
        <f>INDEX(PT_DIFFERENTIATION_NUM_TER,MATCH(B3,PT_DIFFERENTIATION_TER_ID,0))</f>
      </c>
      <c r="T3" s="308" t="s">
        <v>399</v>
      </c>
      <c r="U3" s="300"/>
      <c r="V3" s="2242"/>
      <c r="W3" s="2243"/>
      <c r="X3" s="2243"/>
      <c r="Y3" s="2243"/>
      <c r="Z3" s="2243"/>
      <c r="AA3" s="2243"/>
      <c r="AB3" s="2243"/>
      <c r="AC3" s="2244"/>
      <c r="AD3" s="2242">
        <f>INDEX(PT_DIFFERENTIATION_TER,MATCH(B3,PT_DIFFERENTIATION_TER_ID,0))</f>
      </c>
      <c r="AE3" s="2243"/>
      <c r="AF3" s="2243"/>
      <c r="AG3" s="2243"/>
      <c r="AH3" s="2243"/>
      <c r="AI3" s="2243"/>
      <c r="AJ3" s="2243"/>
      <c r="AK3" s="2243"/>
      <c r="AL3" s="2244"/>
      <c r="AM3" s="1258" t="s">
        <v>400</v>
      </c>
      <c r="AO3" s="500"/>
      <c r="AP3" s="500" t="str">
        <f>IF(T3="","",T3)</f>
        <v>Территория действия тарифа</v>
      </c>
      <c r="AQ3" s="500"/>
      <c r="AR3" s="500"/>
      <c r="AS3" s="1155">
        <v>0</v>
      </c>
    </row>
    <row customHeight="1" ht="23.25" hidden="1">
      <c r="A4" s="1363"/>
      <c r="B4" s="1363"/>
      <c r="C4" s="1363"/>
      <c r="D4" s="1363"/>
      <c r="E4" s="2259"/>
      <c r="F4" s="2259"/>
      <c r="G4" s="2258">
        <v>1</v>
      </c>
      <c r="H4" s="1363"/>
      <c r="I4" s="1363"/>
      <c r="J4" s="1363"/>
      <c r="K4" s="1363"/>
      <c r="L4" s="1364"/>
      <c r="M4" s="1365"/>
      <c r="N4" s="1365"/>
      <c r="O4" s="1365"/>
      <c r="P4" s="354"/>
      <c r="Q4" s="352"/>
      <c r="R4" s="353"/>
      <c r="S4" s="1336">
        <f>INDEX(PT_DIFFERENTIATION_NUM_CS,MATCH(C4,PT_DIFFERENTIATION_CS_ID,0))</f>
      </c>
      <c r="T4" s="309" t="s">
        <v>401</v>
      </c>
      <c r="U4" s="300"/>
      <c r="V4" s="2242"/>
      <c r="W4" s="2243"/>
      <c r="X4" s="2243"/>
      <c r="Y4" s="2243"/>
      <c r="Z4" s="2243"/>
      <c r="AA4" s="2243"/>
      <c r="AB4" s="2243"/>
      <c r="AC4" s="2244"/>
      <c r="AD4" s="2242">
        <f>INDEX(PT_DIFFERENTIATION_CS,MATCH(C4,PT_DIFFERENTIATION_CS_ID,0))</f>
      </c>
      <c r="AE4" s="2243"/>
      <c r="AF4" s="2243"/>
      <c r="AG4" s="2243"/>
      <c r="AH4" s="2243"/>
      <c r="AI4" s="2243"/>
      <c r="AJ4" s="2243"/>
      <c r="AK4" s="2243"/>
      <c r="AL4" s="2244"/>
      <c r="AM4" s="1258" t="s">
        <v>402</v>
      </c>
      <c r="AO4" s="500"/>
      <c r="AP4" s="500" t="str">
        <f>IF(T4="","",T4)</f>
        <v>Наименование системы теплоснабжения </v>
      </c>
      <c r="AQ4" s="500"/>
      <c r="AR4" s="500"/>
      <c r="AS4" s="1155">
        <v>0</v>
      </c>
    </row>
    <row customHeight="1" ht="21" hidden="1">
      <c r="A5" s="1363"/>
      <c r="B5" s="1363"/>
      <c r="C5" s="1363"/>
      <c r="D5" s="1363"/>
      <c r="E5" s="2259"/>
      <c r="F5" s="2259"/>
      <c r="G5" s="2259"/>
      <c r="H5" s="2258">
        <v>1</v>
      </c>
      <c r="I5" s="1363"/>
      <c r="J5" s="1363"/>
      <c r="K5" s="1363"/>
      <c r="L5" s="1364"/>
      <c r="M5" s="1365"/>
      <c r="N5" s="1365"/>
      <c r="O5" s="1365"/>
      <c r="P5" s="354"/>
      <c r="Q5" s="352"/>
      <c r="R5" s="353"/>
      <c r="S5" s="1336">
        <f>INDEX(PT_DIFFERENTIATION_NUM_IST_TE,MATCH(D5,PT_DIFFERENTIATION_IST_TE_ID,0))</f>
      </c>
      <c r="T5" s="310" t="s">
        <v>403</v>
      </c>
      <c r="U5" s="300"/>
      <c r="V5" s="2242"/>
      <c r="W5" s="2243"/>
      <c r="X5" s="2243"/>
      <c r="Y5" s="2243"/>
      <c r="Z5" s="2243"/>
      <c r="AA5" s="2243"/>
      <c r="AB5" s="2243"/>
      <c r="AC5" s="2244"/>
      <c r="AD5" s="2242">
        <f>INDEX(PT_DIFFERENTIATION_IST_TE,MATCH(D5,PT_DIFFERENTIATION_IST_TE_ID,0))</f>
      </c>
      <c r="AE5" s="2243"/>
      <c r="AF5" s="2243"/>
      <c r="AG5" s="2243"/>
      <c r="AH5" s="2243"/>
      <c r="AI5" s="2243"/>
      <c r="AJ5" s="2243"/>
      <c r="AK5" s="2243"/>
      <c r="AL5" s="2244"/>
      <c r="AM5" s="1258" t="s">
        <v>404</v>
      </c>
      <c r="AO5" s="500"/>
      <c r="AP5" s="500" t="str">
        <f>IF(T5="","",T5)</f>
        <v>Источник тепловой энергии  </v>
      </c>
      <c r="AQ5" s="500"/>
      <c r="AR5" s="500"/>
      <c r="AS5" s="1155">
        <v>0</v>
      </c>
    </row>
    <row customHeight="1" ht="14.25" hidden="1">
      <c r="A6" s="1363"/>
      <c r="B6" s="1363"/>
      <c r="C6" s="1363"/>
      <c r="D6" s="1363"/>
      <c r="E6" s="2259"/>
      <c r="F6" s="2259"/>
      <c r="G6" s="2259"/>
      <c r="H6" s="2259"/>
      <c r="I6" s="2256">
        <f>S5&amp;".1"</f>
      </c>
      <c r="J6" s="1363"/>
      <c r="K6" s="1363"/>
      <c r="L6" s="1364" t="s">
        <v>405</v>
      </c>
      <c r="M6" s="537"/>
      <c r="P6" s="2257">
        <v>1</v>
      </c>
      <c r="Q6" s="1331"/>
      <c r="R6" s="356"/>
      <c r="S6" s="1042"/>
      <c r="T6" s="1383"/>
      <c r="U6" s="1384"/>
      <c r="V6" s="2296"/>
      <c r="W6" s="2297"/>
      <c r="X6" s="2297"/>
      <c r="Y6" s="2297"/>
      <c r="Z6" s="2297"/>
      <c r="AA6" s="2297"/>
      <c r="AB6" s="2297"/>
      <c r="AC6" s="2298"/>
      <c r="AD6" s="2296"/>
      <c r="AE6" s="2297"/>
      <c r="AF6" s="2297"/>
      <c r="AG6" s="2297"/>
      <c r="AH6" s="2297"/>
      <c r="AI6" s="2297"/>
      <c r="AJ6" s="2297"/>
      <c r="AK6" s="2297"/>
      <c r="AL6" s="2298"/>
      <c r="AM6" s="1385"/>
      <c r="AO6" s="500"/>
      <c r="AP6" s="500" t="str">
        <f>IF(T6="","",T6)</f>
        <v/>
      </c>
      <c r="AQ6" s="500"/>
      <c r="AR6" s="500"/>
      <c r="AS6" s="1155">
        <v>0</v>
      </c>
    </row>
    <row customHeight="1" ht="21" hidden="1">
      <c r="A7" s="1363"/>
      <c r="B7" s="1363"/>
      <c r="C7" s="1363"/>
      <c r="D7" s="1363"/>
      <c r="E7" s="2259"/>
      <c r="F7" s="2259"/>
      <c r="G7" s="2259"/>
      <c r="H7" s="2259"/>
      <c r="I7" s="2286"/>
      <c r="J7" s="2256">
        <f>I6&amp;".1"</f>
      </c>
      <c r="K7" s="1363"/>
      <c r="L7" s="1364" t="s">
        <v>408</v>
      </c>
      <c r="M7" s="537"/>
      <c r="N7" s="1366"/>
      <c r="P7" s="2257"/>
      <c r="Q7" s="2257">
        <v>1</v>
      </c>
      <c r="R7" s="357"/>
      <c r="S7" s="1336">
        <f>$J7</f>
      </c>
      <c r="T7" s="286" t="s">
        <v>409</v>
      </c>
      <c r="U7" s="300"/>
      <c r="V7" s="2245"/>
      <c r="W7" s="2246"/>
      <c r="X7" s="2246"/>
      <c r="Y7" s="2246"/>
      <c r="Z7" s="2246"/>
      <c r="AA7" s="2246"/>
      <c r="AB7" s="2246"/>
      <c r="AC7" s="2247"/>
      <c r="AD7" s="2245"/>
      <c r="AE7" s="2246"/>
      <c r="AF7" s="2246"/>
      <c r="AG7" s="2246"/>
      <c r="AH7" s="2246"/>
      <c r="AI7" s="2246"/>
      <c r="AJ7" s="2246"/>
      <c r="AK7" s="2246"/>
      <c r="AL7" s="2247"/>
      <c r="AM7" s="1258" t="s">
        <v>410</v>
      </c>
      <c r="AO7" s="500"/>
      <c r="AP7" s="500" t="str">
        <f>IF(T7="","",T7)</f>
        <v>Группа потребителей</v>
      </c>
      <c r="AQ7" s="500"/>
      <c r="AR7" s="500"/>
      <c r="AS7" s="1155">
        <v>0</v>
      </c>
    </row>
    <row customHeight="1" ht="21" hidden="1">
      <c r="A8" s="1363"/>
      <c r="B8" s="1363"/>
      <c r="C8" s="1363"/>
      <c r="D8" s="1363"/>
      <c r="E8" s="2259"/>
      <c r="F8" s="2259"/>
      <c r="G8" s="2259"/>
      <c r="H8" s="2259"/>
      <c r="I8" s="2286"/>
      <c r="J8" s="2286"/>
      <c r="K8" s="2256">
        <f>J7&amp;".1"</f>
      </c>
      <c r="L8" s="1364" t="s">
        <v>411</v>
      </c>
      <c r="M8" s="537"/>
      <c r="N8" s="1366"/>
      <c r="O8" s="1366"/>
      <c r="P8" s="2257"/>
      <c r="Q8" s="2257"/>
      <c r="R8" s="357">
        <v>1</v>
      </c>
      <c r="S8" s="1336">
        <f>$K8</f>
      </c>
      <c r="T8" s="1347"/>
      <c r="U8" s="300"/>
      <c r="V8" s="751"/>
      <c r="W8" s="325"/>
      <c r="X8" s="751"/>
      <c r="Y8" s="1257"/>
      <c r="Z8" s="2265"/>
      <c r="AA8" s="2107" t="s">
        <v>66</v>
      </c>
      <c r="AB8" s="2265"/>
      <c r="AC8" s="2107" t="s">
        <v>66</v>
      </c>
      <c r="AD8" s="751"/>
      <c r="AE8" s="325"/>
      <c r="AF8" s="751"/>
      <c r="AG8" s="1257"/>
      <c r="AH8" s="2265"/>
      <c r="AI8" s="2107" t="s">
        <v>66</v>
      </c>
      <c r="AJ8" s="2265"/>
      <c r="AK8" s="2107" t="s">
        <v>66</v>
      </c>
      <c r="AL8" s="325"/>
      <c r="AM8" s="2253" t="s">
        <v>412</v>
      </c>
      <c r="AN8" s="511">
        <f>STRCHECKDATE(V9:AL9)</f>
      </c>
      <c r="AO8" s="500"/>
      <c r="AP8" s="500" t="str">
        <f>IF(T8="","",T8)</f>
        <v/>
      </c>
      <c r="AQ8" s="500"/>
      <c r="AR8" s="500"/>
      <c r="AS8" s="1155">
        <v>0</v>
      </c>
    </row>
    <row customHeight="1" ht="14.25" hidden="1">
      <c r="A9" s="1363"/>
      <c r="B9" s="1363"/>
      <c r="C9" s="1363"/>
      <c r="D9" s="1363"/>
      <c r="E9" s="2259"/>
      <c r="F9" s="2259"/>
      <c r="G9" s="2259"/>
      <c r="H9" s="2259"/>
      <c r="I9" s="2286"/>
      <c r="J9" s="2286"/>
      <c r="K9" s="2256"/>
      <c r="L9" s="1364"/>
      <c r="M9" s="537"/>
      <c r="N9" s="1366"/>
      <c r="O9" s="1366"/>
      <c r="P9" s="2257"/>
      <c r="Q9" s="2257"/>
      <c r="R9" s="357"/>
      <c r="S9" s="1342"/>
      <c r="T9" s="300"/>
      <c r="U9" s="300"/>
      <c r="V9" s="325"/>
      <c r="W9" s="325"/>
      <c r="X9" s="325"/>
      <c r="Y9" s="328" t="str">
        <f>Z8&amp;"-"&amp;AB8</f>
        <v>-</v>
      </c>
      <c r="Z9" s="2266"/>
      <c r="AA9" s="2107"/>
      <c r="AB9" s="2266"/>
      <c r="AC9" s="2107"/>
      <c r="AD9" s="325"/>
      <c r="AE9" s="325"/>
      <c r="AF9" s="325"/>
      <c r="AG9" s="328" t="str">
        <f>AH8&amp;"-"&amp;AJ8</f>
        <v>-</v>
      </c>
      <c r="AH9" s="2266"/>
      <c r="AI9" s="2107"/>
      <c r="AJ9" s="2266"/>
      <c r="AK9" s="2107"/>
      <c r="AL9" s="325"/>
      <c r="AM9" s="2254"/>
      <c r="AO9" s="500"/>
      <c r="AP9" s="500" t="str">
        <f>IF(T9="","",T9)</f>
        <v/>
      </c>
      <c r="AQ9" s="500"/>
      <c r="AR9" s="500"/>
      <c r="AS9" s="1155">
        <v>0</v>
      </c>
    </row>
    <row customHeight="1" ht="15" hidden="1">
      <c r="A10" s="1363"/>
      <c r="B10" s="1363"/>
      <c r="C10" s="1363"/>
      <c r="D10" s="1363"/>
      <c r="E10" s="2259"/>
      <c r="F10" s="2259"/>
      <c r="G10" s="2259"/>
      <c r="H10" s="2259"/>
      <c r="I10" s="2286"/>
      <c r="J10" s="2256"/>
      <c r="K10" s="1363"/>
      <c r="L10" s="1364"/>
      <c r="M10" s="537"/>
      <c r="N10" s="1366"/>
      <c r="P10" s="2257"/>
      <c r="Q10" s="2257"/>
      <c r="R10" s="356"/>
      <c r="S10" s="1278"/>
      <c r="T10" s="287" t="s">
        <v>413</v>
      </c>
      <c r="U10" s="367"/>
      <c r="V10" s="367"/>
      <c r="W10" s="367"/>
      <c r="X10" s="367"/>
      <c r="Y10" s="367"/>
      <c r="Z10" s="367"/>
      <c r="AA10" s="367"/>
      <c r="AB10" s="367"/>
      <c r="AC10" s="367"/>
      <c r="AD10" s="367"/>
      <c r="AE10" s="367"/>
      <c r="AF10" s="367"/>
      <c r="AG10" s="367"/>
      <c r="AH10" s="367"/>
      <c r="AI10" s="367"/>
      <c r="AJ10" s="367"/>
      <c r="AK10" s="367"/>
      <c r="AL10" s="324"/>
      <c r="AM10" s="2255"/>
      <c r="AO10" s="500"/>
      <c r="AP10" s="500" t="str">
        <f>IF(T10="","",T10)</f>
        <v>Добавить вид теплоносителя (параметры теплоносителя)</v>
      </c>
      <c r="AQ10" s="500"/>
      <c r="AR10" s="500"/>
      <c r="AS10" s="1155">
        <v>0</v>
      </c>
    </row>
    <row customHeight="1" ht="11.25" hidden="1">
      <c r="A11" s="1363"/>
      <c r="B11" s="1363"/>
      <c r="C11" s="1363"/>
      <c r="D11" s="1363"/>
      <c r="E11" s="2259"/>
      <c r="F11" s="2259"/>
      <c r="G11" s="2259"/>
      <c r="H11" s="2259"/>
      <c r="I11" s="2256"/>
      <c r="J11" s="1363"/>
      <c r="K11" s="1363"/>
      <c r="L11" s="1364"/>
      <c r="M11" s="537"/>
      <c r="P11" s="2257"/>
      <c r="Q11" s="1331"/>
      <c r="R11" s="356"/>
      <c r="S11" s="1278"/>
      <c r="T11" s="365" t="s">
        <v>414</v>
      </c>
      <c r="U11" s="367"/>
      <c r="V11" s="367"/>
      <c r="W11" s="367"/>
      <c r="X11" s="367"/>
      <c r="Y11" s="367"/>
      <c r="Z11" s="367"/>
      <c r="AA11" s="367"/>
      <c r="AB11" s="367"/>
      <c r="AC11" s="366"/>
      <c r="AD11" s="367"/>
      <c r="AE11" s="367"/>
      <c r="AF11" s="367"/>
      <c r="AG11" s="367"/>
      <c r="AH11" s="367"/>
      <c r="AI11" s="367"/>
      <c r="AJ11" s="367"/>
      <c r="AK11" s="366"/>
      <c r="AL11" s="367"/>
      <c r="AM11" s="303"/>
      <c r="AO11" s="500"/>
      <c r="AP11" s="500" t="str">
        <f>IF(T11="","",T11)</f>
        <v>Добавить группу потребителей</v>
      </c>
      <c r="AQ11" s="500"/>
      <c r="AR11" s="500"/>
      <c r="AS11" s="1155">
        <v>0</v>
      </c>
    </row>
    <row customHeight="1" ht="14.25" hidden="1">
      <c r="A12" s="1363"/>
      <c r="B12" s="1363"/>
      <c r="C12" s="1363"/>
      <c r="D12" s="1363"/>
      <c r="E12" s="2259"/>
      <c r="F12" s="2259"/>
      <c r="G12" s="2259"/>
      <c r="H12" s="2258"/>
      <c r="I12" s="1363"/>
      <c r="J12" s="1363"/>
      <c r="K12" s="1363"/>
      <c r="L12" s="1364"/>
      <c r="M12" s="1365"/>
      <c r="N12" s="1365"/>
      <c r="O12" s="537"/>
      <c r="P12" s="360"/>
      <c r="Q12" s="375"/>
      <c r="R12" s="355"/>
      <c r="S12" s="1386"/>
      <c r="T12" s="1387"/>
      <c r="U12" s="1388"/>
      <c r="V12" s="1388"/>
      <c r="W12" s="1388"/>
      <c r="X12" s="1388"/>
      <c r="Y12" s="1388"/>
      <c r="Z12" s="1388"/>
      <c r="AA12" s="1388"/>
      <c r="AB12" s="1388"/>
      <c r="AC12" s="1388"/>
      <c r="AD12" s="1388"/>
      <c r="AE12" s="1388"/>
      <c r="AF12" s="1388"/>
      <c r="AG12" s="1388"/>
      <c r="AH12" s="1388"/>
      <c r="AI12" s="1388"/>
      <c r="AJ12" s="1388"/>
      <c r="AK12" s="1388"/>
      <c r="AL12" s="1388"/>
      <c r="AM12" s="1389"/>
      <c r="AO12" s="500"/>
      <c r="AP12" s="500" t="str">
        <f>IF(T12="","",T12)</f>
        <v/>
      </c>
      <c r="AQ12" s="500"/>
      <c r="AR12" s="500"/>
      <c r="AS12" s="1155">
        <v>0</v>
      </c>
    </row>
    <row s="1642" customFormat="1" customHeight="1" ht="14.25" hidden="1">
      <c r="A13" s="1314"/>
      <c r="B13" s="1314"/>
      <c r="C13" s="1314"/>
      <c r="D13" s="1314"/>
      <c r="E13" s="2259"/>
      <c r="F13" s="2259"/>
      <c r="G13" s="2258"/>
      <c r="H13" s="1314"/>
      <c r="I13" s="1314"/>
      <c r="J13" s="1314"/>
      <c r="K13" s="1314"/>
      <c r="L13" s="1339"/>
      <c r="M13" s="1315"/>
      <c r="N13" s="1315"/>
      <c r="P13" s="1316"/>
      <c r="Q13" s="1317"/>
      <c r="R13" s="1316"/>
      <c r="S13" s="1318"/>
      <c r="T13" s="1319" t="s">
        <v>416</v>
      </c>
      <c r="U13" s="1320"/>
      <c r="V13" s="1320"/>
      <c r="W13" s="1320"/>
      <c r="X13" s="1320"/>
      <c r="Y13" s="1320"/>
      <c r="Z13" s="1320"/>
      <c r="AA13" s="1320"/>
      <c r="AB13" s="1320"/>
      <c r="AC13" s="1320"/>
      <c r="AD13" s="1320"/>
      <c r="AE13" s="1320"/>
      <c r="AF13" s="1320"/>
      <c r="AG13" s="1320"/>
      <c r="AH13" s="1320"/>
      <c r="AI13" s="1320"/>
      <c r="AJ13" s="1320"/>
      <c r="AK13" s="1320"/>
      <c r="AL13" s="1320"/>
      <c r="AM13" s="1320"/>
      <c r="AO13" s="789"/>
      <c r="AP13" s="789" t="str">
        <f>IF(T13="","",T13)</f>
        <v>Добавить источник для дифференциации</v>
      </c>
      <c r="AQ13" s="789"/>
      <c r="AR13" s="789"/>
      <c r="AS13" s="518">
        <v>0</v>
      </c>
    </row>
    <row s="1642" customFormat="1" customHeight="1" ht="14.25" hidden="1">
      <c r="A14" s="1314"/>
      <c r="B14" s="1314"/>
      <c r="C14" s="1314"/>
      <c r="D14" s="1314"/>
      <c r="E14" s="2259"/>
      <c r="F14" s="2258"/>
      <c r="G14" s="1314"/>
      <c r="H14" s="1314"/>
      <c r="I14" s="1314"/>
      <c r="J14" s="1314"/>
      <c r="K14" s="1314"/>
      <c r="L14" s="1339"/>
      <c r="M14" s="1321"/>
      <c r="N14" s="1321"/>
      <c r="P14" s="1316"/>
      <c r="Q14" s="1317"/>
      <c r="R14" s="1316"/>
      <c r="S14" s="1322"/>
      <c r="T14" s="1323" t="s">
        <v>417</v>
      </c>
      <c r="U14" s="1324"/>
      <c r="V14" s="1324"/>
      <c r="W14" s="1324"/>
      <c r="X14" s="1324"/>
      <c r="Y14" s="1324"/>
      <c r="Z14" s="1324"/>
      <c r="AA14" s="1324"/>
      <c r="AB14" s="1324"/>
      <c r="AC14" s="1324"/>
      <c r="AD14" s="1324"/>
      <c r="AE14" s="1324"/>
      <c r="AF14" s="1324"/>
      <c r="AG14" s="1324"/>
      <c r="AH14" s="1324"/>
      <c r="AI14" s="1324"/>
      <c r="AJ14" s="1324"/>
      <c r="AK14" s="1324"/>
      <c r="AL14" s="1324"/>
      <c r="AM14" s="1324"/>
      <c r="AO14" s="789"/>
      <c r="AP14" s="789" t="str">
        <f>IF(T14="","",T14)</f>
        <v>Добавить централизованную систему для дифференциации</v>
      </c>
      <c r="AQ14" s="789"/>
      <c r="AR14" s="789"/>
      <c r="AS14" s="518">
        <v>0</v>
      </c>
    </row>
    <row s="1642" customFormat="1" customHeight="1" ht="14.25" hidden="1">
      <c r="A15" s="1314"/>
      <c r="B15" s="1314"/>
      <c r="C15" s="1314"/>
      <c r="D15" s="1314"/>
      <c r="E15" s="2258"/>
      <c r="F15" s="1314"/>
      <c r="G15" s="1314"/>
      <c r="H15" s="1314"/>
      <c r="I15" s="1314"/>
      <c r="J15" s="1314"/>
      <c r="K15" s="1314"/>
      <c r="L15" s="1339"/>
      <c r="M15" s="1321"/>
      <c r="N15" s="1321"/>
      <c r="P15" s="1316"/>
      <c r="Q15" s="1317"/>
      <c r="R15" s="1316"/>
      <c r="S15" s="1322"/>
      <c r="T15" s="1325" t="s">
        <v>418</v>
      </c>
      <c r="U15" s="1324"/>
      <c r="V15" s="1324"/>
      <c r="W15" s="1324"/>
      <c r="X15" s="1324"/>
      <c r="Y15" s="1324"/>
      <c r="Z15" s="1324"/>
      <c r="AA15" s="1324"/>
      <c r="AB15" s="1324"/>
      <c r="AC15" s="1324"/>
      <c r="AD15" s="1324"/>
      <c r="AE15" s="1324"/>
      <c r="AF15" s="1324"/>
      <c r="AG15" s="1324"/>
      <c r="AH15" s="1324"/>
      <c r="AI15" s="1324"/>
      <c r="AJ15" s="1324"/>
      <c r="AK15" s="1324"/>
      <c r="AL15" s="1324"/>
      <c r="AM15" s="1324"/>
      <c r="AO15" s="789"/>
      <c r="AP15" s="789" t="str">
        <f>IF(T15="","",T15)</f>
        <v>Добавить территорию для дифференциации</v>
      </c>
      <c r="AQ15" s="789"/>
      <c r="AR15" s="789"/>
      <c r="AS15" s="518">
        <v>0</v>
      </c>
    </row>
    <row customHeight="1" ht="14.25" hidden="1">
      <c r="AC16" s="327"/>
      <c r="AK16" s="327"/>
      <c r="AS16" s="1155">
        <v>0</v>
      </c>
    </row>
    <row customHeight="1" ht="14.25" hidden="1">
      <c r="AD17" s="1360"/>
      <c r="AE17" s="1360"/>
      <c r="AF17" s="1360"/>
      <c r="AG17" s="1361"/>
      <c r="AH17" s="2267"/>
      <c r="AI17" s="2268" t="s">
        <v>66</v>
      </c>
      <c r="AJ17" s="2267"/>
      <c r="AK17" s="2268" t="s">
        <v>66</v>
      </c>
      <c r="AS17" s="1155">
        <v>0</v>
      </c>
    </row>
    <row customHeight="1" ht="14.25" hidden="1">
      <c r="AD18" s="1360"/>
      <c r="AE18" s="1360"/>
      <c r="AF18" s="1360"/>
      <c r="AG18" s="328" t="str">
        <f>AH17&amp;"-"&amp;AJ17</f>
        <v>-</v>
      </c>
      <c r="AH18" s="2268"/>
      <c r="AI18" s="2268"/>
      <c r="AJ18" s="2268"/>
      <c r="AK18" s="2268"/>
      <c r="AS18" s="1155">
        <v>0</v>
      </c>
    </row>
    <row customHeight="1" ht="14.25" hidden="1">
      <c r="AK19" s="327"/>
      <c r="AS19" s="1155">
        <v>0</v>
      </c>
    </row>
    <row s="1366" customFormat="1" customHeight="1" ht="22.5" hidden="1">
      <c r="L20" s="1329"/>
      <c r="M20" s="1362"/>
      <c r="N20" s="1362"/>
      <c r="O20" s="1367" t="s">
        <v>419</v>
      </c>
      <c r="P20" s="1362"/>
      <c r="Q20" s="1371"/>
      <c r="R20" s="1371"/>
      <c r="S20" s="729"/>
      <c r="Z20" s="1367"/>
      <c r="AB20" s="1367"/>
      <c r="AC20" s="1366"/>
      <c r="AH20" s="1367"/>
      <c r="AJ20" s="1367"/>
      <c r="AK20" s="1366"/>
      <c r="AN20" s="511"/>
      <c r="AO20" s="511"/>
      <c r="AP20" s="511"/>
      <c r="AQ20" s="511"/>
      <c r="AR20" s="511"/>
      <c r="AS20" s="1160">
        <v>0</v>
      </c>
    </row>
    <row s="1366" customFormat="1" customHeight="1" ht="14.25" hidden="1">
      <c r="L21" s="1329"/>
      <c r="M21" s="1362"/>
      <c r="N21" s="1362"/>
      <c r="O21" s="1362"/>
      <c r="P21" s="1362"/>
      <c r="Q21" s="1371"/>
      <c r="R21" s="1371"/>
      <c r="S21" s="729"/>
      <c r="AC21" s="1366"/>
      <c r="AK21" s="1366"/>
      <c r="AN21" s="511"/>
      <c r="AO21" s="511"/>
      <c r="AP21" s="511"/>
      <c r="AQ21" s="511"/>
      <c r="AR21" s="511"/>
      <c r="AS21" s="1160">
        <v>0</v>
      </c>
    </row>
    <row s="1366" customFormat="1" customHeight="1" ht="14.25" hidden="1">
      <c r="L22" s="1329"/>
      <c r="M22" s="1362"/>
      <c r="N22" s="1362"/>
      <c r="O22" s="1364" t="s">
        <v>420</v>
      </c>
      <c r="P22" s="1362"/>
      <c r="Q22" s="1371"/>
      <c r="R22" s="1371"/>
      <c r="S22" s="729"/>
      <c r="T22" s="1160" t="s">
        <v>421</v>
      </c>
      <c r="AA22" s="186" t="s">
        <v>422</v>
      </c>
      <c r="AC22" s="186" t="s">
        <v>423</v>
      </c>
      <c r="AD22" s="1160" t="s">
        <v>421</v>
      </c>
      <c r="AI22" s="186" t="s">
        <v>424</v>
      </c>
      <c r="AK22" s="186" t="s">
        <v>423</v>
      </c>
      <c r="AN22" s="511"/>
      <c r="AO22" s="511"/>
      <c r="AP22" s="511"/>
      <c r="AQ22" s="511"/>
      <c r="AR22" s="511"/>
      <c r="AS22" s="1160">
        <v>0</v>
      </c>
    </row>
    <row customHeight="1" ht="14.25" hidden="1">
      <c r="O23" s="1364"/>
      <c r="AS23" s="1155">
        <v>0</v>
      </c>
    </row>
    <row customHeight="1" ht="14.25" hidden="1">
      <c r="O24" s="1364"/>
      <c r="AS24" s="1155">
        <v>0</v>
      </c>
    </row>
    <row customHeight="1" ht="14.699999999999998">
      <c r="Q25" s="376"/>
      <c r="R25" s="376"/>
      <c r="S25" s="1275"/>
      <c r="T25" s="363"/>
      <c r="U25" s="363"/>
      <c r="V25" s="509"/>
      <c r="W25" s="509"/>
      <c r="X25" s="509"/>
      <c r="Y25" s="509"/>
      <c r="Z25" s="509"/>
      <c r="AA25" s="509"/>
      <c r="AB25" s="509"/>
      <c r="AC25" s="509"/>
      <c r="AD25" s="509"/>
      <c r="AE25" s="509"/>
      <c r="AF25" s="509"/>
      <c r="AG25" s="509"/>
      <c r="AH25" s="509"/>
      <c r="AI25" s="509"/>
      <c r="AJ25" s="509"/>
      <c r="AK25" s="509"/>
      <c r="AS25" s="1155">
        <v>14</v>
      </c>
    </row>
    <row customHeight="1" ht="53.54999999999999">
      <c r="Q26" s="376"/>
      <c r="R26" s="376"/>
      <c r="S26" s="2248" t="str">
        <f>IF(TEMPLATE_GROUP="P",PT_P_FORM_HEAT_5_NAME_FORM,PT_R_FORM_HEAT_22_NAME_FORM)</f>
        <v>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v>
      </c>
      <c r="T26" s="2248"/>
      <c r="U26" s="2248"/>
      <c r="V26" s="2248"/>
      <c r="W26" s="2248"/>
      <c r="X26" s="2248"/>
      <c r="Y26" s="2248"/>
      <c r="Z26" s="2248"/>
      <c r="AA26" s="2248"/>
      <c r="AB26" s="2248"/>
      <c r="AC26" s="2248"/>
      <c r="AD26" s="2248"/>
      <c r="AE26" s="2248"/>
      <c r="AF26" s="2248"/>
      <c r="AG26" s="2248"/>
      <c r="AH26" s="2248"/>
      <c r="AI26" s="2248"/>
      <c r="AJ26" s="2248"/>
      <c r="AK26" s="1243"/>
      <c r="AS26" s="1155">
        <v>51</v>
      </c>
    </row>
    <row customHeight="1" ht="14.699999999999998">
      <c r="Q27" s="376"/>
      <c r="R27" s="376"/>
      <c r="S27" s="2249" t="str">
        <f>IF(org=0,"Не определено",org)</f>
        <v>ПАО "ОГК-2"</v>
      </c>
      <c r="T27" s="2249"/>
      <c r="U27" s="2249"/>
      <c r="V27" s="2249"/>
      <c r="W27" s="2249"/>
      <c r="X27" s="2249"/>
      <c r="Y27" s="2249"/>
      <c r="Z27" s="2249"/>
      <c r="AA27" s="2249"/>
      <c r="AB27" s="2249"/>
      <c r="AC27" s="2249"/>
      <c r="AD27" s="2249"/>
      <c r="AE27" s="2249"/>
      <c r="AF27" s="2249"/>
      <c r="AG27" s="2249"/>
      <c r="AH27" s="2249"/>
      <c r="AI27" s="2249"/>
      <c r="AJ27" s="2249"/>
      <c r="AK27" s="1243"/>
      <c r="AS27" s="1155">
        <v>14</v>
      </c>
    </row>
    <row customHeight="1" ht="14.25" hidden="1">
      <c r="Q28" s="376"/>
      <c r="R28" s="376"/>
      <c r="S28" s="1275"/>
      <c r="T28" s="363"/>
      <c r="U28" s="363"/>
      <c r="V28" s="322"/>
      <c r="W28" s="322"/>
      <c r="X28" s="322"/>
      <c r="Y28" s="322"/>
      <c r="Z28" s="322"/>
      <c r="AA28" s="322"/>
      <c r="AB28" s="322"/>
      <c r="AC28" s="322"/>
      <c r="AD28" s="322"/>
      <c r="AE28" s="322"/>
      <c r="AF28" s="322"/>
      <c r="AG28" s="322"/>
      <c r="AH28" s="322"/>
      <c r="AI28" s="322"/>
      <c r="AJ28" s="322"/>
      <c r="AK28" s="322"/>
      <c r="AL28" s="509"/>
      <c r="AS28" s="1155">
        <v>0</v>
      </c>
    </row>
    <row s="1853" customFormat="1" customHeight="1" ht="25.5" hidden="1">
      <c r="A29" s="1368"/>
      <c r="B29" s="1368"/>
      <c r="C29" s="1368"/>
      <c r="D29" s="1368"/>
      <c r="E29" s="1368"/>
      <c r="F29" s="1368"/>
      <c r="G29" s="1368"/>
      <c r="H29" s="1368"/>
      <c r="I29" s="1368"/>
      <c r="J29" s="1368"/>
      <c r="K29" s="1368"/>
      <c r="L29" s="1369"/>
      <c r="M29" s="1368"/>
      <c r="N29" s="1368"/>
      <c r="O29" s="1368"/>
      <c r="S29" s="2250" t="s">
        <v>42</v>
      </c>
      <c r="T29" s="2250"/>
      <c r="U29" s="1372"/>
      <c r="V29" s="2251" t="str">
        <f>IF(TITLE_NAME_OR_PR_CHANGE="",IF(TITLE_NAME_OR_PR="","",TITLE_NAME_OR_PR),TITLE_NAME_OR_PR_CHANGE)</f>
        <v/>
      </c>
      <c r="W29" s="2251"/>
      <c r="X29" s="2251"/>
      <c r="Y29" s="2251"/>
      <c r="Z29" s="2251"/>
      <c r="AA29" s="2251"/>
      <c r="AB29" s="2251"/>
      <c r="AC29" s="326"/>
      <c r="AD29" s="2251" t="str">
        <f>IF(TITLE_NAME_OR_PR_CHANGE="",IF(TITLE_NAME_OR_PR="","",TITLE_NAME_OR_PR),TITLE_NAME_OR_PR_CHANGE)</f>
        <v/>
      </c>
      <c r="AE29" s="2251"/>
      <c r="AF29" s="2251"/>
      <c r="AG29" s="2251"/>
      <c r="AH29" s="2251"/>
      <c r="AI29" s="2251"/>
      <c r="AJ29" s="2251"/>
      <c r="AK29" s="326"/>
      <c r="AL29" s="326"/>
      <c r="AM29" s="280"/>
      <c r="AN29" s="368"/>
      <c r="AO29" s="368"/>
      <c r="AP29" s="368"/>
      <c r="AQ29" s="368"/>
      <c r="AR29" s="368"/>
      <c r="AS29" s="418">
        <v>0</v>
      </c>
    </row>
    <row s="1853" customFormat="1" customHeight="1" ht="18.75" hidden="1">
      <c r="A30" s="1368"/>
      <c r="B30" s="1368"/>
      <c r="C30" s="1368"/>
      <c r="D30" s="1368"/>
      <c r="E30" s="1368"/>
      <c r="F30" s="1368"/>
      <c r="G30" s="1368"/>
      <c r="H30" s="1368"/>
      <c r="I30" s="1368"/>
      <c r="J30" s="1368"/>
      <c r="K30" s="1368"/>
      <c r="L30" s="1369"/>
      <c r="M30" s="1368"/>
      <c r="N30" s="1368"/>
      <c r="O30" s="1368"/>
      <c r="S30" s="2250" t="s">
        <v>425</v>
      </c>
      <c r="T30" s="2250"/>
      <c r="U30" s="1372"/>
      <c r="V30" s="2264" t="str">
        <f>IF(TITLE_DATE_PR_CHANGE="",IF(TITLE_DATE_PR="","",TITLE_DATE_PR),TITLE_DATE_PR_CHANGE)</f>
        <v/>
      </c>
      <c r="W30" s="2264"/>
      <c r="X30" s="2264"/>
      <c r="Y30" s="2264"/>
      <c r="Z30" s="2264"/>
      <c r="AA30" s="2264"/>
      <c r="AB30" s="2264"/>
      <c r="AC30" s="326"/>
      <c r="AD30" s="2264" t="str">
        <f>IF(TITLE_DATE_PR_CHANGE="",IF(TITLE_DATE_PR="","",TITLE_DATE_PR),TITLE_DATE_PR_CHANGE)</f>
        <v/>
      </c>
      <c r="AE30" s="2264"/>
      <c r="AF30" s="2264"/>
      <c r="AG30" s="2264"/>
      <c r="AH30" s="2264"/>
      <c r="AI30" s="2264"/>
      <c r="AJ30" s="2264"/>
      <c r="AK30" s="326"/>
      <c r="AL30" s="326"/>
      <c r="AM30" s="280"/>
      <c r="AN30" s="368"/>
      <c r="AO30" s="368"/>
      <c r="AP30" s="368"/>
      <c r="AQ30" s="368"/>
      <c r="AR30" s="368"/>
      <c r="AS30" s="418">
        <v>0</v>
      </c>
    </row>
    <row s="1853" customFormat="1" customHeight="1" ht="18.75" hidden="1">
      <c r="A31" s="1368"/>
      <c r="B31" s="1368"/>
      <c r="C31" s="1368"/>
      <c r="D31" s="1368"/>
      <c r="E31" s="1368"/>
      <c r="F31" s="1368"/>
      <c r="G31" s="1368"/>
      <c r="H31" s="1368"/>
      <c r="I31" s="1368"/>
      <c r="J31" s="1368"/>
      <c r="K31" s="1368"/>
      <c r="L31" s="1369"/>
      <c r="M31" s="1368"/>
      <c r="N31" s="1368"/>
      <c r="O31" s="1368"/>
      <c r="S31" s="2250" t="s">
        <v>426</v>
      </c>
      <c r="T31" s="2250"/>
      <c r="U31" s="1372"/>
      <c r="V31" s="2251" t="str">
        <f>IF(TITLE_NUMBER_PR_CHANGE="",IF(TITLE_NUMBER_PR="","",TITLE_NUMBER_PR),TITLE_NUMBER_PR_CHANGE)</f>
        <v/>
      </c>
      <c r="W31" s="2251"/>
      <c r="X31" s="2251"/>
      <c r="Y31" s="2251"/>
      <c r="Z31" s="2251"/>
      <c r="AA31" s="2251"/>
      <c r="AB31" s="2251"/>
      <c r="AC31" s="326"/>
      <c r="AD31" s="2251" t="str">
        <f>IF(TITLE_NUMBER_PR_CHANGE="",IF(TITLE_NUMBER_PR="","",TITLE_NUMBER_PR),TITLE_NUMBER_PR_CHANGE)</f>
        <v/>
      </c>
      <c r="AE31" s="2251"/>
      <c r="AF31" s="2251"/>
      <c r="AG31" s="2251"/>
      <c r="AH31" s="2251"/>
      <c r="AI31" s="2251"/>
      <c r="AJ31" s="2251"/>
      <c r="AK31" s="326"/>
      <c r="AL31" s="326"/>
      <c r="AM31" s="280"/>
      <c r="AN31" s="368"/>
      <c r="AO31" s="368"/>
      <c r="AP31" s="368"/>
      <c r="AQ31" s="368"/>
      <c r="AR31" s="368"/>
      <c r="AS31" s="418">
        <v>0</v>
      </c>
    </row>
    <row s="1853" customFormat="1" customHeight="1" ht="18.75" hidden="1">
      <c r="A32" s="1368"/>
      <c r="B32" s="1368"/>
      <c r="C32" s="1368"/>
      <c r="D32" s="1368"/>
      <c r="E32" s="1368"/>
      <c r="F32" s="1368"/>
      <c r="G32" s="1368"/>
      <c r="H32" s="1368"/>
      <c r="I32" s="1368"/>
      <c r="J32" s="1368"/>
      <c r="K32" s="1368"/>
      <c r="L32" s="1369"/>
      <c r="M32" s="1368"/>
      <c r="N32" s="1368"/>
      <c r="O32" s="1368"/>
      <c r="S32" s="2250" t="s">
        <v>43</v>
      </c>
      <c r="T32" s="2250"/>
      <c r="U32" s="1372"/>
      <c r="V32" s="2251" t="str">
        <f>IF(TITLE_IST_PUB_CHANGE="",IF(TITLE_IST_PUB="","",TITLE_IST_PUB),TITLE_IST_PUB_CHANGE)</f>
        <v/>
      </c>
      <c r="W32" s="2251"/>
      <c r="X32" s="2251"/>
      <c r="Y32" s="2251"/>
      <c r="Z32" s="2251"/>
      <c r="AA32" s="2251"/>
      <c r="AB32" s="2251"/>
      <c r="AC32" s="326"/>
      <c r="AD32" s="2251" t="str">
        <f>IF(TITLE_IST_PUB_CHANGE="",IF(TITLE_IST_PUB="","",TITLE_IST_PUB),TITLE_IST_PUB_CHANGE)</f>
        <v/>
      </c>
      <c r="AE32" s="2251"/>
      <c r="AF32" s="2251"/>
      <c r="AG32" s="2251"/>
      <c r="AH32" s="2251"/>
      <c r="AI32" s="2251"/>
      <c r="AJ32" s="2251"/>
      <c r="AK32" s="326"/>
      <c r="AL32" s="326"/>
      <c r="AM32" s="280"/>
      <c r="AN32" s="368"/>
      <c r="AO32" s="368"/>
      <c r="AP32" s="368"/>
      <c r="AQ32" s="368"/>
      <c r="AR32" s="368"/>
      <c r="AS32" s="418">
        <v>0</v>
      </c>
    </row>
    <row customHeight="1" ht="14.25" hidden="1">
      <c r="Q33" s="376"/>
      <c r="R33" s="376"/>
      <c r="S33" s="1275"/>
      <c r="T33" s="363"/>
      <c r="U33" s="363"/>
      <c r="V33" s="322"/>
      <c r="W33" s="322"/>
      <c r="X33" s="322"/>
      <c r="Y33" s="322"/>
      <c r="Z33" s="322"/>
      <c r="AA33" s="322"/>
      <c r="AB33" s="322"/>
      <c r="AC33" s="322"/>
      <c r="AD33" s="322"/>
      <c r="AE33" s="322"/>
      <c r="AF33" s="322"/>
      <c r="AG33" s="322"/>
      <c r="AH33" s="322"/>
      <c r="AI33" s="322"/>
      <c r="AJ33" s="322"/>
      <c r="AK33" s="322"/>
      <c r="AL33" s="509"/>
      <c r="AS33" s="1155">
        <v>0</v>
      </c>
    </row>
    <row s="1853" customFormat="1" customHeight="1" ht="18.75" hidden="1">
      <c r="A34" s="1368"/>
      <c r="B34" s="1368"/>
      <c r="C34" s="1368"/>
      <c r="D34" s="1368"/>
      <c r="E34" s="1368"/>
      <c r="F34" s="1368"/>
      <c r="G34" s="1368"/>
      <c r="H34" s="1368"/>
      <c r="I34" s="1368"/>
      <c r="J34" s="1368"/>
      <c r="K34" s="1368"/>
      <c r="L34" s="1369"/>
      <c r="M34" s="1368"/>
      <c r="N34" s="1368"/>
      <c r="O34" s="1368"/>
      <c r="S34" s="2250" t="s">
        <v>427</v>
      </c>
      <c r="T34" s="2250"/>
      <c r="U34" s="1372"/>
      <c r="V34" s="2264" t="str">
        <f>IF(TITLE_DATE_PR_CHANGE="",IF(TITLE_DATE_PR="","",TITLE_DATE_PR),TITLE_DATE_PR_CHANGE)</f>
        <v/>
      </c>
      <c r="W34" s="2264"/>
      <c r="X34" s="2264"/>
      <c r="Y34" s="2264"/>
      <c r="Z34" s="2264"/>
      <c r="AA34" s="2264"/>
      <c r="AB34" s="2264"/>
      <c r="AC34" s="326"/>
      <c r="AD34" s="2264" t="str">
        <f>IF(TITLE_DATE_PR_CHANGE="",IF(TITLE_DATE_PR="","",TITLE_DATE_PR),TITLE_DATE_PR_CHANGE)</f>
        <v/>
      </c>
      <c r="AE34" s="2264"/>
      <c r="AF34" s="2264"/>
      <c r="AG34" s="2264"/>
      <c r="AH34" s="2264"/>
      <c r="AI34" s="2264"/>
      <c r="AJ34" s="2264"/>
      <c r="AK34" s="326"/>
      <c r="AL34" s="326"/>
      <c r="AM34" s="280"/>
      <c r="AN34" s="368"/>
      <c r="AO34" s="368"/>
      <c r="AP34" s="368"/>
      <c r="AQ34" s="368"/>
      <c r="AR34" s="368"/>
      <c r="AS34" s="418">
        <v>0</v>
      </c>
    </row>
    <row s="1853" customFormat="1" customHeight="1" ht="25.5" hidden="1">
      <c r="A35" s="1368"/>
      <c r="B35" s="1368"/>
      <c r="C35" s="1368"/>
      <c r="D35" s="1368"/>
      <c r="E35" s="1368"/>
      <c r="F35" s="1368"/>
      <c r="G35" s="1368"/>
      <c r="H35" s="1368"/>
      <c r="I35" s="1368"/>
      <c r="J35" s="1368"/>
      <c r="K35" s="1368"/>
      <c r="L35" s="1369"/>
      <c r="M35" s="1368"/>
      <c r="N35" s="1368"/>
      <c r="O35" s="1368"/>
      <c r="S35" s="2250" t="s">
        <v>428</v>
      </c>
      <c r="T35" s="2250"/>
      <c r="U35" s="1372"/>
      <c r="V35" s="2251" t="str">
        <f>IF(TITLE_NUMBER_PR_CHANGE="",IF(TITLE_NUMBER_PR="","",TITLE_NUMBER_PR),TITLE_NUMBER_PR_CHANGE)</f>
        <v/>
      </c>
      <c r="W35" s="2251"/>
      <c r="X35" s="2251"/>
      <c r="Y35" s="2251"/>
      <c r="Z35" s="2251"/>
      <c r="AA35" s="2251"/>
      <c r="AB35" s="2251"/>
      <c r="AC35" s="326"/>
      <c r="AD35" s="2251" t="str">
        <f>IF(TITLE_NUMBER_PR_CHANGE="",IF(TITLE_NUMBER_PR="","",TITLE_NUMBER_PR),TITLE_NUMBER_PR_CHANGE)</f>
        <v/>
      </c>
      <c r="AE35" s="2251"/>
      <c r="AF35" s="2251"/>
      <c r="AG35" s="2251"/>
      <c r="AH35" s="2251"/>
      <c r="AI35" s="2251"/>
      <c r="AJ35" s="2251"/>
      <c r="AK35" s="326"/>
      <c r="AL35" s="326"/>
      <c r="AM35" s="280"/>
      <c r="AN35" s="368"/>
      <c r="AO35" s="368"/>
      <c r="AP35" s="368"/>
      <c r="AQ35" s="368"/>
      <c r="AR35" s="368"/>
      <c r="AS35" s="418">
        <v>0</v>
      </c>
    </row>
    <row s="1853" customFormat="1" customHeight="1" ht="0">
      <c r="A36" s="1368"/>
      <c r="B36" s="1368"/>
      <c r="C36" s="1368"/>
      <c r="D36" s="1368"/>
      <c r="E36" s="1368"/>
      <c r="F36" s="1368"/>
      <c r="G36" s="1368"/>
      <c r="H36" s="1368"/>
      <c r="I36" s="1368"/>
      <c r="J36" s="1368"/>
      <c r="K36" s="1368"/>
      <c r="L36" s="1369"/>
      <c r="M36" s="1368"/>
      <c r="N36" s="1368"/>
      <c r="O36" s="1368"/>
      <c r="S36" s="323"/>
      <c r="T36" s="323"/>
      <c r="U36" s="1340"/>
      <c r="V36" s="326"/>
      <c r="W36" s="326"/>
      <c r="X36" s="326"/>
      <c r="Y36" s="326"/>
      <c r="Z36" s="326"/>
      <c r="AA36" s="326"/>
      <c r="AB36" s="326"/>
      <c r="AC36" s="278" t="s">
        <v>429</v>
      </c>
      <c r="AD36" s="326"/>
      <c r="AE36" s="326"/>
      <c r="AF36" s="326"/>
      <c r="AG36" s="326"/>
      <c r="AH36" s="326"/>
      <c r="AI36" s="326"/>
      <c r="AJ36" s="326"/>
      <c r="AK36" s="278" t="s">
        <v>429</v>
      </c>
      <c r="AN36" s="368"/>
      <c r="AO36" s="368"/>
      <c r="AP36" s="368"/>
      <c r="AQ36" s="368"/>
      <c r="AR36" s="368"/>
      <c r="AS36" s="418">
        <v>0</v>
      </c>
    </row>
    <row customHeight="1" ht="14.699999999999998">
      <c r="Q37" s="376"/>
      <c r="R37" s="376"/>
      <c r="S37" s="1275"/>
      <c r="T37" s="363"/>
      <c r="U37" s="1244"/>
      <c r="V37" s="2252"/>
      <c r="W37" s="2252"/>
      <c r="X37" s="2252"/>
      <c r="Y37" s="2252"/>
      <c r="Z37" s="2252"/>
      <c r="AA37" s="2252"/>
      <c r="AB37" s="2252"/>
      <c r="AC37" s="2252"/>
      <c r="AD37" s="2252"/>
      <c r="AE37" s="2252"/>
      <c r="AF37" s="2252"/>
      <c r="AG37" s="2252"/>
      <c r="AH37" s="2252"/>
      <c r="AI37" s="2252"/>
      <c r="AJ37" s="2252"/>
      <c r="AK37" s="2252"/>
      <c r="AS37" s="1155">
        <v>14</v>
      </c>
    </row>
    <row customHeight="1" ht="14.699999999999998">
      <c r="Q38" s="376"/>
      <c r="R38" s="376"/>
      <c r="S38" s="2127" t="s">
        <v>302</v>
      </c>
      <c r="T38" s="2127"/>
      <c r="U38" s="2127"/>
      <c r="V38" s="2127"/>
      <c r="W38" s="2127"/>
      <c r="X38" s="2127"/>
      <c r="Y38" s="2127"/>
      <c r="Z38" s="2127"/>
      <c r="AA38" s="2127"/>
      <c r="AB38" s="2127"/>
      <c r="AC38" s="2127"/>
      <c r="AD38" s="2127"/>
      <c r="AE38" s="2127"/>
      <c r="AF38" s="2127"/>
      <c r="AG38" s="2127"/>
      <c r="AH38" s="2127"/>
      <c r="AI38" s="2127"/>
      <c r="AJ38" s="2127"/>
      <c r="AK38" s="2127"/>
      <c r="AL38" s="2127"/>
      <c r="AM38" s="2127" t="s">
        <v>303</v>
      </c>
      <c r="AS38" s="1155">
        <v>14</v>
      </c>
    </row>
    <row customHeight="1" ht="14.699999999999998">
      <c r="Q39" s="376"/>
      <c r="R39" s="376"/>
      <c r="S39" s="2273" t="s">
        <v>88</v>
      </c>
      <c r="T39" s="2209" t="s">
        <v>430</v>
      </c>
      <c r="U39" s="301"/>
      <c r="V39" s="2274" t="s">
        <v>431</v>
      </c>
      <c r="W39" s="2275"/>
      <c r="X39" s="2275"/>
      <c r="Y39" s="2275"/>
      <c r="Z39" s="2275"/>
      <c r="AA39" s="2275"/>
      <c r="AB39" s="2276"/>
      <c r="AC39" s="2277" t="s">
        <v>432</v>
      </c>
      <c r="AD39" s="2274" t="s">
        <v>431</v>
      </c>
      <c r="AE39" s="2275"/>
      <c r="AF39" s="2275"/>
      <c r="AG39" s="2275"/>
      <c r="AH39" s="2275"/>
      <c r="AI39" s="2275"/>
      <c r="AJ39" s="2276"/>
      <c r="AK39" s="2277" t="s">
        <v>433</v>
      </c>
      <c r="AL39" s="2280" t="s">
        <v>434</v>
      </c>
      <c r="AM39" s="2127"/>
      <c r="AS39" s="1155">
        <v>14</v>
      </c>
    </row>
    <row customHeight="1" ht="35.699999999999996">
      <c r="Q40" s="376"/>
      <c r="R40" s="376"/>
      <c r="S40" s="2273"/>
      <c r="T40" s="2209"/>
      <c r="U40" s="1031"/>
      <c r="V40" s="2260" t="s">
        <v>435</v>
      </c>
      <c r="W40" s="2283"/>
      <c r="X40" s="2262" t="s">
        <v>437</v>
      </c>
      <c r="Y40" s="2263"/>
      <c r="Z40" s="2262" t="s">
        <v>438</v>
      </c>
      <c r="AA40" s="2269"/>
      <c r="AB40" s="2263"/>
      <c r="AC40" s="2278"/>
      <c r="AD40" s="2260" t="s">
        <v>452</v>
      </c>
      <c r="AE40" s="2283"/>
      <c r="AF40" s="2262" t="s">
        <v>437</v>
      </c>
      <c r="AG40" s="2263"/>
      <c r="AH40" s="2262" t="s">
        <v>438</v>
      </c>
      <c r="AI40" s="2269"/>
      <c r="AJ40" s="2263"/>
      <c r="AK40" s="2278"/>
      <c r="AL40" s="2281"/>
      <c r="AM40" s="2127"/>
      <c r="AS40" s="1155">
        <v>34</v>
      </c>
    </row>
    <row customHeight="1" ht="35.699999999999996">
      <c r="A41" s="1370"/>
      <c r="B41" s="1370" t="s">
        <v>139</v>
      </c>
      <c r="C41" s="1370" t="s">
        <v>140</v>
      </c>
      <c r="D41" s="1370" t="s">
        <v>141</v>
      </c>
      <c r="E41" s="1364" t="s">
        <v>439</v>
      </c>
      <c r="F41" s="1364" t="s">
        <v>440</v>
      </c>
      <c r="G41" s="1364" t="s">
        <v>441</v>
      </c>
      <c r="H41" s="1364" t="s">
        <v>442</v>
      </c>
      <c r="I41" s="1364" t="s">
        <v>443</v>
      </c>
      <c r="J41" s="1364" t="s">
        <v>444</v>
      </c>
      <c r="K41" s="1364" t="s">
        <v>445</v>
      </c>
      <c r="L41" s="1364" t="s">
        <v>420</v>
      </c>
      <c r="Q41" s="376"/>
      <c r="R41" s="376"/>
      <c r="S41" s="2273"/>
      <c r="T41" s="2209"/>
      <c r="U41" s="302"/>
      <c r="V41" s="2261"/>
      <c r="W41" s="2284"/>
      <c r="X41" s="1222" t="s">
        <v>446</v>
      </c>
      <c r="Y41" s="1222" t="s">
        <v>447</v>
      </c>
      <c r="Z41" s="1338" t="s">
        <v>448</v>
      </c>
      <c r="AA41" s="2270" t="s">
        <v>449</v>
      </c>
      <c r="AB41" s="2271"/>
      <c r="AC41" s="2279"/>
      <c r="AD41" s="2261"/>
      <c r="AE41" s="2284"/>
      <c r="AF41" s="1222" t="s">
        <v>446</v>
      </c>
      <c r="AG41" s="1222" t="s">
        <v>447</v>
      </c>
      <c r="AH41" s="1338" t="s">
        <v>448</v>
      </c>
      <c r="AI41" s="2270" t="s">
        <v>449</v>
      </c>
      <c r="AJ41" s="2271"/>
      <c r="AK41" s="2279"/>
      <c r="AL41" s="2282"/>
      <c r="AM41" s="2127"/>
      <c r="AS41" s="1155">
        <v>34</v>
      </c>
    </row>
    <row s="1641" customFormat="1" customHeight="1" ht="11.25" hidden="1">
      <c r="A42" s="1370"/>
      <c r="B42" s="1370"/>
      <c r="C42" s="1370"/>
      <c r="D42" s="1370"/>
      <c r="E42" s="1370"/>
      <c r="F42" s="1370"/>
      <c r="G42" s="1370"/>
      <c r="H42" s="1370"/>
      <c r="I42" s="1370"/>
      <c r="J42" s="1370"/>
      <c r="K42" s="1370"/>
      <c r="L42" s="1364"/>
      <c r="M42" s="1362"/>
      <c r="N42" s="1362"/>
      <c r="O42" s="1362"/>
      <c r="P42" s="1246"/>
      <c r="Q42" s="1247"/>
      <c r="R42" s="1254">
        <v>1</v>
      </c>
      <c r="S42" s="1277" t="s">
        <v>109</v>
      </c>
      <c r="T42" s="1255" t="s">
        <v>110</v>
      </c>
      <c r="U42" s="1245" t="str">
        <f>OFFSET(U42,0,-1)</f>
        <v>2</v>
      </c>
      <c r="V42" s="1335">
        <f>OFFSET(V42,0,-1)+1</f>
        <v>3</v>
      </c>
      <c r="W42" s="1335"/>
      <c r="X42" s="1335">
        <f>OFFSET(X42,0,-1)+1</f>
        <v>1</v>
      </c>
      <c r="Y42" s="1335">
        <f>OFFSET(Y42,0,-1)+1</f>
        <v>2</v>
      </c>
      <c r="Z42" s="1335">
        <f>OFFSET(Z42,0,-1)+1</f>
        <v>3</v>
      </c>
      <c r="AA42" s="2272">
        <f>OFFSET(AA42,0,-1)+1</f>
        <v>4</v>
      </c>
      <c r="AB42" s="2272"/>
      <c r="AC42" s="1335">
        <f>OFFSET(AC42,0,-2)+1</f>
        <v>5</v>
      </c>
      <c r="AD42" s="1335">
        <f>OFFSET(AD42,0,-1)+1</f>
        <v>6</v>
      </c>
      <c r="AE42" s="1335"/>
      <c r="AF42" s="1335">
        <f>OFFSET(AF42,0,-1)+1</f>
        <v>1</v>
      </c>
      <c r="AG42" s="1335">
        <f>OFFSET(AG42,0,-1)+1</f>
        <v>2</v>
      </c>
      <c r="AH42" s="1335">
        <f>OFFSET(AH42,0,-1)+1</f>
        <v>3</v>
      </c>
      <c r="AI42" s="2272">
        <f>OFFSET(AI42,0,-1)+1</f>
        <v>4</v>
      </c>
      <c r="AJ42" s="2272"/>
      <c r="AK42" s="1335">
        <f>OFFSET(AK42,0,-2)+1</f>
        <v>5</v>
      </c>
      <c r="AL42" s="1245">
        <f>OFFSET(AL42,0,-1)</f>
        <v>5</v>
      </c>
      <c r="AM42" s="1335">
        <f>OFFSET(AM42,0,-1)+1</f>
        <v>6</v>
      </c>
      <c r="AN42" s="511"/>
      <c r="AO42" s="511"/>
      <c r="AP42" s="511"/>
      <c r="AQ42" s="511"/>
      <c r="AR42" s="511"/>
      <c r="AS42" s="496">
        <v>0</v>
      </c>
    </row>
    <row customHeight="1" ht="22.049999999999997">
      <c r="A43" s="1363" t="s">
        <v>190</v>
      </c>
      <c r="B43" s="1363"/>
      <c r="C43" s="1363"/>
      <c r="D43" s="1363"/>
      <c r="E43" s="2258">
        <v>1</v>
      </c>
      <c r="F43" s="1363"/>
      <c r="G43" s="1363"/>
      <c r="H43" s="1363"/>
      <c r="I43" s="1363"/>
      <c r="J43" s="1363"/>
      <c r="K43" s="1363"/>
      <c r="L43" s="1364"/>
      <c r="M43" s="1365"/>
      <c r="N43" s="1365"/>
      <c r="O43" s="1365"/>
      <c r="P43" s="361"/>
      <c r="Q43" s="360"/>
      <c r="R43" s="355"/>
      <c r="S43" s="1336">
        <f>INDEX(PT_DIFFERENTIATION_NUM_NTAR,MATCH(A43,PT_DIFFERENTIATION_NTAR_ID,0))</f>
        <v>0</v>
      </c>
      <c r="T43" s="298" t="s">
        <v>127</v>
      </c>
      <c r="U43" s="300"/>
      <c r="V43" s="2242"/>
      <c r="W43" s="2243"/>
      <c r="X43" s="2243"/>
      <c r="Y43" s="2243"/>
      <c r="Z43" s="2243"/>
      <c r="AA43" s="2243"/>
      <c r="AB43" s="2243"/>
      <c r="AC43" s="2244"/>
      <c r="AD43" s="2242" t="str">
        <f>INDEX(PT_DIFFERENTIATION_NTAR,MATCH(A43,PT_DIFFERENTIATION_NTAR_ID,0))</f>
        <v/>
      </c>
      <c r="AE43" s="2243"/>
      <c r="AF43" s="2243"/>
      <c r="AG43" s="2243"/>
      <c r="AH43" s="2243"/>
      <c r="AI43" s="2243"/>
      <c r="AJ43" s="2243"/>
      <c r="AK43" s="2243"/>
      <c r="AL43" s="2244"/>
      <c r="AM43" s="1258" t="str">
        <f>IF(TEMPLATE_GROUP="P","По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"&amp;"с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"&amp;"2010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"&amp;"теплоснабжения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"&amp;"6 части 1 статьи 23 4 Федерального закона от 27 июля 2010 г. N 190-ФЗ ""О теплоснабжении"".
"&amp;"Для каждого вида тарифа в сфере теплоснабжения форма заполняется отдельно.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цены"&amp;"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"&amp;"В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"&amp;"Федерального закона от 27 июля 2010 г. N 190-ФЗ ""О теплоснабжении"". 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00"/>
      <c r="AP43" s="500" t="str">
        <f>IF(T43="","",T43)</f>
        <v>Наименование тарифа</v>
      </c>
      <c r="AQ43" s="500"/>
      <c r="AR43" s="500"/>
      <c r="AS43" s="1155">
        <v>21</v>
      </c>
    </row>
    <row customHeight="1" ht="22.049999999999997">
      <c r="A44" s="1363" t="s">
        <v>190</v>
      </c>
      <c r="B44" s="1363" t="s">
        <v>191</v>
      </c>
      <c r="C44" s="1363"/>
      <c r="D44" s="1363"/>
      <c r="E44" s="2259"/>
      <c r="F44" s="2258">
        <v>1</v>
      </c>
      <c r="G44" s="1363"/>
      <c r="H44" s="1363"/>
      <c r="I44" s="1363"/>
      <c r="J44" s="1363"/>
      <c r="K44" s="1363"/>
      <c r="L44" s="1364"/>
      <c r="M44" s="1365"/>
      <c r="N44" s="1365"/>
      <c r="O44" s="1365"/>
      <c r="P44" s="1332"/>
      <c r="Q44" s="352"/>
      <c r="R44" s="353"/>
      <c r="S44" s="1336" t="str">
        <f>INDEX(PT_DIFFERENTIATION_NUM_TER,MATCH(B44,PT_DIFFERENTIATION_TER_ID,0))</f>
        <v>.</v>
      </c>
      <c r="T44" s="308" t="s">
        <v>399</v>
      </c>
      <c r="U44" s="300"/>
      <c r="V44" s="2242"/>
      <c r="W44" s="2243"/>
      <c r="X44" s="2243"/>
      <c r="Y44" s="2243"/>
      <c r="Z44" s="2243"/>
      <c r="AA44" s="2243"/>
      <c r="AB44" s="2243"/>
      <c r="AC44" s="2244"/>
      <c r="AD44" s="2242" t="str">
        <f>INDEX(PT_DIFFERENTIATION_TER,MATCH(B44,PT_DIFFERENTIATION_TER_ID,0))</f>
        <v/>
      </c>
      <c r="AE44" s="2243"/>
      <c r="AF44" s="2243"/>
      <c r="AG44" s="2243"/>
      <c r="AH44" s="2243"/>
      <c r="AI44" s="2243"/>
      <c r="AJ44" s="2243"/>
      <c r="AK44" s="2243"/>
      <c r="AL44" s="2244"/>
      <c r="AM44" s="1258" t="s">
        <v>400</v>
      </c>
      <c r="AO44" s="500"/>
      <c r="AP44" s="500" t="str">
        <f>IF(T44="","",T44)</f>
        <v>Территория действия тарифа</v>
      </c>
      <c r="AQ44" s="500"/>
      <c r="AR44" s="500"/>
      <c r="AS44" s="1155">
        <v>21</v>
      </c>
    </row>
    <row customHeight="1" ht="24">
      <c r="A45" s="1363" t="s">
        <v>190</v>
      </c>
      <c r="B45" s="1363" t="s">
        <v>191</v>
      </c>
      <c r="C45" s="1363" t="s">
        <v>192</v>
      </c>
      <c r="D45" s="1363"/>
      <c r="E45" s="2259"/>
      <c r="F45" s="2259"/>
      <c r="G45" s="2258">
        <v>1</v>
      </c>
      <c r="H45" s="1363"/>
      <c r="I45" s="1363"/>
      <c r="J45" s="1363"/>
      <c r="K45" s="1363"/>
      <c r="L45" s="1364"/>
      <c r="M45" s="1365"/>
      <c r="N45" s="1365"/>
      <c r="O45" s="1365"/>
      <c r="P45" s="354"/>
      <c r="Q45" s="352"/>
      <c r="R45" s="353"/>
      <c r="S45" s="1336" t="str">
        <f>INDEX(PT_DIFFERENTIATION_NUM_CS,MATCH(C45,PT_DIFFERENTIATION_CS_ID,0))</f>
        <v>..</v>
      </c>
      <c r="T45" s="309" t="s">
        <v>401</v>
      </c>
      <c r="U45" s="300"/>
      <c r="V45" s="2242"/>
      <c r="W45" s="2243"/>
      <c r="X45" s="2243"/>
      <c r="Y45" s="2243"/>
      <c r="Z45" s="2243"/>
      <c r="AA45" s="2243"/>
      <c r="AB45" s="2243"/>
      <c r="AC45" s="2244"/>
      <c r="AD45" s="2242" t="str">
        <f>INDEX(PT_DIFFERENTIATION_CS,MATCH(C45,PT_DIFFERENTIATION_CS_ID,0))</f>
        <v/>
      </c>
      <c r="AE45" s="2243"/>
      <c r="AF45" s="2243"/>
      <c r="AG45" s="2243"/>
      <c r="AH45" s="2243"/>
      <c r="AI45" s="2243"/>
      <c r="AJ45" s="2243"/>
      <c r="AK45" s="2243"/>
      <c r="AL45" s="2244"/>
      <c r="AM45" s="1258" t="s">
        <v>402</v>
      </c>
      <c r="AO45" s="500"/>
      <c r="AP45" s="500" t="str">
        <f>IF(T45="","",T45)</f>
        <v>Наименование системы теплоснабжения </v>
      </c>
      <c r="AQ45" s="500"/>
      <c r="AR45" s="500"/>
      <c r="AS45" s="1155">
        <v>23</v>
      </c>
    </row>
    <row customHeight="1" ht="22.049999999999997">
      <c r="A46" s="1363" t="s">
        <v>190</v>
      </c>
      <c r="B46" s="1363" t="s">
        <v>191</v>
      </c>
      <c r="C46" s="1363" t="s">
        <v>192</v>
      </c>
      <c r="D46" s="1363" t="s">
        <v>193</v>
      </c>
      <c r="E46" s="2259"/>
      <c r="F46" s="2259"/>
      <c r="G46" s="2259"/>
      <c r="H46" s="2258">
        <v>1</v>
      </c>
      <c r="I46" s="1363"/>
      <c r="J46" s="1363"/>
      <c r="K46" s="1363"/>
      <c r="L46" s="1364"/>
      <c r="M46" s="1365"/>
      <c r="N46" s="1365"/>
      <c r="O46" s="1365"/>
      <c r="P46" s="354"/>
      <c r="Q46" s="352"/>
      <c r="R46" s="353"/>
      <c r="S46" s="1336" t="str">
        <f>INDEX(PT_DIFFERENTIATION_NUM_IST_TE,MATCH(D46,PT_DIFFERENTIATION_IST_TE_ID,0))</f>
        <v>...</v>
      </c>
      <c r="T46" s="310" t="s">
        <v>403</v>
      </c>
      <c r="U46" s="300"/>
      <c r="V46" s="2242"/>
      <c r="W46" s="2243"/>
      <c r="X46" s="2243"/>
      <c r="Y46" s="2243"/>
      <c r="Z46" s="2243"/>
      <c r="AA46" s="2243"/>
      <c r="AB46" s="2243"/>
      <c r="AC46" s="2244"/>
      <c r="AD46" s="2242" t="str">
        <f>INDEX(PT_DIFFERENTIATION_IST_TE,MATCH(D46,PT_DIFFERENTIATION_IST_TE_ID,0))</f>
        <v/>
      </c>
      <c r="AE46" s="2243"/>
      <c r="AF46" s="2243"/>
      <c r="AG46" s="2243"/>
      <c r="AH46" s="2243"/>
      <c r="AI46" s="2243"/>
      <c r="AJ46" s="2243"/>
      <c r="AK46" s="2243"/>
      <c r="AL46" s="2244"/>
      <c r="AM46" s="1258" t="s">
        <v>404</v>
      </c>
      <c r="AO46" s="500"/>
      <c r="AP46" s="500" t="str">
        <f>IF(T46="","",T46)</f>
        <v>Источник тепловой энергии  </v>
      </c>
      <c r="AQ46" s="500"/>
      <c r="AR46" s="500"/>
      <c r="AS46" s="1155">
        <v>21</v>
      </c>
    </row>
    <row s="1642" customFormat="1" customHeight="1" ht="0">
      <c r="A47" s="1343" t="s">
        <v>190</v>
      </c>
      <c r="B47" s="1343" t="s">
        <v>191</v>
      </c>
      <c r="C47" s="1343" t="s">
        <v>192</v>
      </c>
      <c r="D47" s="1343" t="s">
        <v>193</v>
      </c>
      <c r="E47" s="2259"/>
      <c r="F47" s="2259"/>
      <c r="G47" s="2259"/>
      <c r="H47" s="2259"/>
      <c r="I47" s="2256" t="str">
        <f>S46&amp;".1"</f>
        <v>....1</v>
      </c>
      <c r="J47" s="1343"/>
      <c r="K47" s="1343"/>
      <c r="L47" s="1346" t="s">
        <v>405</v>
      </c>
      <c r="M47" s="510"/>
      <c r="N47" s="510"/>
      <c r="O47" s="510"/>
      <c r="P47" s="2257">
        <v>1</v>
      </c>
      <c r="Q47" s="1331"/>
      <c r="R47" s="356"/>
      <c r="S47" s="1042"/>
      <c r="T47" s="1383"/>
      <c r="U47" s="1384"/>
      <c r="V47" s="2296"/>
      <c r="W47" s="2297"/>
      <c r="X47" s="2297"/>
      <c r="Y47" s="2297"/>
      <c r="Z47" s="2297"/>
      <c r="AA47" s="2297"/>
      <c r="AB47" s="2297"/>
      <c r="AC47" s="2298"/>
      <c r="AD47" s="2296"/>
      <c r="AE47" s="2297"/>
      <c r="AF47" s="2297"/>
      <c r="AG47" s="2297"/>
      <c r="AH47" s="2297"/>
      <c r="AI47" s="2297"/>
      <c r="AJ47" s="2297"/>
      <c r="AK47" s="2297"/>
      <c r="AL47" s="2298"/>
      <c r="AM47" s="1385"/>
      <c r="AO47" s="500"/>
      <c r="AP47" s="500" t="str">
        <f>IF(T47="","",T47)</f>
        <v/>
      </c>
      <c r="AQ47" s="500"/>
      <c r="AR47" s="500"/>
      <c r="AS47" s="511">
        <v>0</v>
      </c>
    </row>
    <row customHeight="1" ht="22.049999999999997">
      <c r="A48" s="1363" t="s">
        <v>190</v>
      </c>
      <c r="B48" s="1363" t="s">
        <v>191</v>
      </c>
      <c r="C48" s="1363" t="s">
        <v>192</v>
      </c>
      <c r="D48" s="1363" t="s">
        <v>193</v>
      </c>
      <c r="E48" s="2259"/>
      <c r="F48" s="2259"/>
      <c r="G48" s="2259"/>
      <c r="H48" s="2259"/>
      <c r="I48" s="2286"/>
      <c r="J48" s="2256" t="str">
        <f>S46&amp;".1"</f>
        <v>....1</v>
      </c>
      <c r="K48" s="1363"/>
      <c r="L48" s="1364" t="s">
        <v>408</v>
      </c>
      <c r="P48" s="2257"/>
      <c r="Q48" s="2257">
        <v>1</v>
      </c>
      <c r="R48" s="357"/>
      <c r="S48" s="1336" t="str">
        <f>$J48</f>
        <v>....1</v>
      </c>
      <c r="T48" s="286" t="s">
        <v>409</v>
      </c>
      <c r="U48" s="300"/>
      <c r="V48" s="2245"/>
      <c r="W48" s="2246"/>
      <c r="X48" s="2246"/>
      <c r="Y48" s="2246"/>
      <c r="Z48" s="2246"/>
      <c r="AA48" s="2246"/>
      <c r="AB48" s="2246"/>
      <c r="AC48" s="2247"/>
      <c r="AD48" s="2245"/>
      <c r="AE48" s="2246"/>
      <c r="AF48" s="2246"/>
      <c r="AG48" s="2246"/>
      <c r="AH48" s="2246"/>
      <c r="AI48" s="2246"/>
      <c r="AJ48" s="2246"/>
      <c r="AK48" s="2246"/>
      <c r="AL48" s="2247"/>
      <c r="AM48" s="1258" t="s">
        <v>410</v>
      </c>
      <c r="AO48" s="500"/>
      <c r="AP48" s="500" t="str">
        <f>IF(T48="","",T48)</f>
        <v>Группа потребителей</v>
      </c>
      <c r="AQ48" s="500"/>
      <c r="AR48" s="500"/>
      <c r="AS48" s="1155">
        <v>21</v>
      </c>
    </row>
    <row customHeight="1" ht="22.049999999999997">
      <c r="A49" s="1363" t="s">
        <v>190</v>
      </c>
      <c r="B49" s="1363" t="s">
        <v>191</v>
      </c>
      <c r="C49" s="1363" t="s">
        <v>192</v>
      </c>
      <c r="D49" s="1363" t="s">
        <v>193</v>
      </c>
      <c r="E49" s="2259"/>
      <c r="F49" s="2259"/>
      <c r="G49" s="2259"/>
      <c r="H49" s="2259"/>
      <c r="I49" s="2286"/>
      <c r="J49" s="2286"/>
      <c r="K49" s="2256" t="str">
        <f>J48&amp;".1"</f>
        <v>....1.1</v>
      </c>
      <c r="L49" s="1364" t="s">
        <v>411</v>
      </c>
      <c r="P49" s="2257"/>
      <c r="Q49" s="2257"/>
      <c r="R49" s="357">
        <v>1</v>
      </c>
      <c r="S49" s="1336" t="str">
        <f>$K49</f>
        <v>....1.1</v>
      </c>
      <c r="T49" s="1347"/>
      <c r="U49" s="300"/>
      <c r="V49" s="751"/>
      <c r="W49" s="325"/>
      <c r="X49" s="751"/>
      <c r="Y49" s="1257"/>
      <c r="Z49" s="2265"/>
      <c r="AA49" s="2107" t="s">
        <v>66</v>
      </c>
      <c r="AB49" s="2265"/>
      <c r="AC49" s="2107" t="s">
        <v>66</v>
      </c>
      <c r="AD49" s="751"/>
      <c r="AE49" s="325"/>
      <c r="AF49" s="751"/>
      <c r="AG49" s="1257"/>
      <c r="AH49" s="2265"/>
      <c r="AI49" s="2107" t="s">
        <v>66</v>
      </c>
      <c r="AJ49" s="2287"/>
      <c r="AK49" s="2107" t="s">
        <v>66</v>
      </c>
      <c r="AL49" s="1348"/>
      <c r="AM49" s="2253" t="s">
        <v>453</v>
      </c>
      <c r="AN49" s="511">
        <f>STRCHECKDATE(V50:AL50)</f>
      </c>
      <c r="AO49" s="500"/>
      <c r="AP49" s="500" t="str">
        <f>IF(T49="","",T49)</f>
        <v/>
      </c>
      <c r="AQ49" s="500"/>
      <c r="AR49" s="500"/>
      <c r="AS49" s="1155">
        <v>21</v>
      </c>
    </row>
    <row customHeight="1" ht="0">
      <c r="A50" s="1363" t="s">
        <v>190</v>
      </c>
      <c r="B50" s="1363" t="s">
        <v>191</v>
      </c>
      <c r="C50" s="1363" t="s">
        <v>192</v>
      </c>
      <c r="D50" s="1363" t="s">
        <v>193</v>
      </c>
      <c r="E50" s="2259"/>
      <c r="F50" s="2259"/>
      <c r="G50" s="2259"/>
      <c r="H50" s="2259"/>
      <c r="I50" s="2286"/>
      <c r="J50" s="2286"/>
      <c r="K50" s="2256"/>
      <c r="L50" s="1364"/>
      <c r="P50" s="2257"/>
      <c r="Q50" s="2257"/>
      <c r="R50" s="357"/>
      <c r="S50" s="1342"/>
      <c r="T50" s="300"/>
      <c r="U50" s="300"/>
      <c r="V50" s="325"/>
      <c r="W50" s="325"/>
      <c r="X50" s="325"/>
      <c r="Y50" s="328" t="str">
        <f>Z49&amp;"-"&amp;AB49</f>
        <v>-</v>
      </c>
      <c r="Z50" s="2266"/>
      <c r="AA50" s="2107"/>
      <c r="AB50" s="2266"/>
      <c r="AC50" s="2107"/>
      <c r="AD50" s="325"/>
      <c r="AE50" s="325"/>
      <c r="AF50" s="325"/>
      <c r="AG50" s="328" t="str">
        <f>AH49&amp;"-"&amp;AJ49</f>
        <v>-</v>
      </c>
      <c r="AH50" s="2266"/>
      <c r="AI50" s="2107"/>
      <c r="AJ50" s="2288"/>
      <c r="AK50" s="2107"/>
      <c r="AL50" s="1349"/>
      <c r="AM50" s="2254"/>
      <c r="AO50" s="500"/>
      <c r="AP50" s="500" t="str">
        <f>IF(T50="","",T50)</f>
        <v/>
      </c>
      <c r="AQ50" s="500"/>
      <c r="AR50" s="500"/>
      <c r="AS50" s="1155">
        <v>0</v>
      </c>
    </row>
    <row customHeight="1" ht="11.549999999999999">
      <c r="A51" s="1363" t="s">
        <v>190</v>
      </c>
      <c r="B51" s="1363" t="s">
        <v>191</v>
      </c>
      <c r="C51" s="1363" t="s">
        <v>192</v>
      </c>
      <c r="D51" s="1363" t="s">
        <v>193</v>
      </c>
      <c r="E51" s="2259"/>
      <c r="F51" s="2259"/>
      <c r="G51" s="2259"/>
      <c r="H51" s="2259"/>
      <c r="I51" s="2286"/>
      <c r="J51" s="2256"/>
      <c r="K51" s="1363"/>
      <c r="L51" s="1364"/>
      <c r="P51" s="2257"/>
      <c r="Q51" s="2257"/>
      <c r="R51" s="356"/>
      <c r="S51" s="1278"/>
      <c r="T51" s="287" t="s">
        <v>413</v>
      </c>
      <c r="U51" s="367"/>
      <c r="V51" s="367"/>
      <c r="W51" s="367"/>
      <c r="X51" s="367"/>
      <c r="Y51" s="367"/>
      <c r="Z51" s="367"/>
      <c r="AA51" s="367"/>
      <c r="AB51" s="367"/>
      <c r="AC51" s="367"/>
      <c r="AD51" s="367"/>
      <c r="AE51" s="367"/>
      <c r="AF51" s="367"/>
      <c r="AG51" s="367"/>
      <c r="AH51" s="367"/>
      <c r="AI51" s="367"/>
      <c r="AJ51" s="367"/>
      <c r="AK51" s="367"/>
      <c r="AL51" s="324"/>
      <c r="AM51" s="2255"/>
      <c r="AO51" s="500"/>
      <c r="AP51" s="500" t="str">
        <f>IF(T51="","",T51)</f>
        <v>Добавить вид теплоносителя (параметры теплоносителя)</v>
      </c>
      <c r="AQ51" s="500"/>
      <c r="AR51" s="500"/>
      <c r="AS51" s="1155">
        <v>11</v>
      </c>
    </row>
    <row customHeight="1" ht="11.549999999999999">
      <c r="A52" s="1363" t="s">
        <v>190</v>
      </c>
      <c r="B52" s="1363" t="s">
        <v>191</v>
      </c>
      <c r="C52" s="1363" t="s">
        <v>192</v>
      </c>
      <c r="D52" s="1363" t="s">
        <v>193</v>
      </c>
      <c r="E52" s="2259"/>
      <c r="F52" s="2259"/>
      <c r="G52" s="2259"/>
      <c r="H52" s="2259"/>
      <c r="I52" s="2256"/>
      <c r="J52" s="1363"/>
      <c r="K52" s="1363"/>
      <c r="L52" s="1364"/>
      <c r="P52" s="2257"/>
      <c r="Q52" s="1331"/>
      <c r="R52" s="356"/>
      <c r="S52" s="1278"/>
      <c r="T52" s="365" t="s">
        <v>414</v>
      </c>
      <c r="U52" s="367"/>
      <c r="V52" s="367"/>
      <c r="W52" s="367"/>
      <c r="X52" s="367"/>
      <c r="Y52" s="367"/>
      <c r="Z52" s="367"/>
      <c r="AA52" s="367"/>
      <c r="AB52" s="367"/>
      <c r="AC52" s="366"/>
      <c r="AD52" s="367"/>
      <c r="AE52" s="367"/>
      <c r="AF52" s="367"/>
      <c r="AG52" s="367"/>
      <c r="AH52" s="367"/>
      <c r="AI52" s="367"/>
      <c r="AJ52" s="367"/>
      <c r="AK52" s="366"/>
      <c r="AL52" s="367"/>
      <c r="AM52" s="303"/>
      <c r="AO52" s="500"/>
      <c r="AP52" s="500" t="str">
        <f>IF(T52="","",T52)</f>
        <v>Добавить группу потребителей</v>
      </c>
      <c r="AQ52" s="500"/>
      <c r="AR52" s="500"/>
      <c r="AS52" s="1155">
        <v>11</v>
      </c>
    </row>
    <row customHeight="1" ht="0">
      <c r="A53" s="1363" t="s">
        <v>190</v>
      </c>
      <c r="B53" s="1363" t="s">
        <v>191</v>
      </c>
      <c r="C53" s="1363" t="s">
        <v>192</v>
      </c>
      <c r="D53" s="1363" t="s">
        <v>193</v>
      </c>
      <c r="E53" s="2259"/>
      <c r="F53" s="2259"/>
      <c r="G53" s="2259"/>
      <c r="H53" s="2258"/>
      <c r="I53" s="1363"/>
      <c r="J53" s="1363"/>
      <c r="K53" s="1363"/>
      <c r="L53" s="1364"/>
      <c r="M53" s="1365"/>
      <c r="N53" s="1365"/>
      <c r="O53" s="537"/>
      <c r="P53" s="360"/>
      <c r="Q53" s="375"/>
      <c r="R53" s="355"/>
      <c r="S53" s="1386"/>
      <c r="T53" s="1387"/>
      <c r="U53" s="1388"/>
      <c r="V53" s="1388"/>
      <c r="W53" s="1388"/>
      <c r="X53" s="1388"/>
      <c r="Y53" s="1388"/>
      <c r="Z53" s="1388"/>
      <c r="AA53" s="1388"/>
      <c r="AB53" s="1388"/>
      <c r="AC53" s="1388"/>
      <c r="AD53" s="1388"/>
      <c r="AE53" s="1388"/>
      <c r="AF53" s="1388"/>
      <c r="AG53" s="1388"/>
      <c r="AH53" s="1388"/>
      <c r="AI53" s="1388"/>
      <c r="AJ53" s="1388"/>
      <c r="AK53" s="1388"/>
      <c r="AL53" s="1388"/>
      <c r="AM53" s="1389"/>
      <c r="AO53" s="500"/>
      <c r="AP53" s="500" t="str">
        <f>IF(T53="","",T53)</f>
        <v/>
      </c>
      <c r="AQ53" s="500"/>
      <c r="AR53" s="500"/>
      <c r="AS53" s="1155">
        <v>0</v>
      </c>
    </row>
    <row s="1642" customFormat="1" customHeight="1" ht="0">
      <c r="A54" s="1343" t="s">
        <v>190</v>
      </c>
      <c r="B54" s="1343" t="s">
        <v>191</v>
      </c>
      <c r="C54" s="1343" t="s">
        <v>192</v>
      </c>
      <c r="D54" s="1314"/>
      <c r="E54" s="2259"/>
      <c r="F54" s="2259"/>
      <c r="G54" s="2258"/>
      <c r="H54" s="1314"/>
      <c r="I54" s="1314"/>
      <c r="J54" s="1314"/>
      <c r="K54" s="1314"/>
      <c r="L54" s="1339"/>
      <c r="M54" s="1315"/>
      <c r="N54" s="1315"/>
      <c r="P54" s="1316"/>
      <c r="Q54" s="1317"/>
      <c r="R54" s="1316"/>
      <c r="S54" s="1322"/>
      <c r="T54" s="1325" t="s">
        <v>416</v>
      </c>
      <c r="U54" s="1324"/>
      <c r="V54" s="1324"/>
      <c r="W54" s="1324"/>
      <c r="X54" s="1324"/>
      <c r="Y54" s="1324"/>
      <c r="Z54" s="1324"/>
      <c r="AA54" s="1324"/>
      <c r="AB54" s="1324"/>
      <c r="AC54" s="1324"/>
      <c r="AD54" s="1324"/>
      <c r="AE54" s="1324"/>
      <c r="AF54" s="1324"/>
      <c r="AG54" s="1324"/>
      <c r="AH54" s="1324"/>
      <c r="AI54" s="1324"/>
      <c r="AJ54" s="1324"/>
      <c r="AK54" s="1324"/>
      <c r="AL54" s="1324"/>
      <c r="AM54" s="1324"/>
      <c r="AO54" s="789"/>
      <c r="AP54" s="789" t="str">
        <f>IF(T54="","",T54)</f>
        <v>Добавить источник для дифференциации</v>
      </c>
      <c r="AQ54" s="789"/>
      <c r="AR54" s="789"/>
      <c r="AS54" s="518">
        <v>0</v>
      </c>
    </row>
    <row s="1642" customFormat="1" customHeight="1" ht="0">
      <c r="A55" s="1343" t="s">
        <v>190</v>
      </c>
      <c r="B55" s="1343" t="s">
        <v>191</v>
      </c>
      <c r="C55" s="1314"/>
      <c r="D55" s="1314"/>
      <c r="E55" s="2259"/>
      <c r="F55" s="2258"/>
      <c r="G55" s="1314"/>
      <c r="H55" s="1314"/>
      <c r="I55" s="1314"/>
      <c r="J55" s="1314"/>
      <c r="K55" s="1314"/>
      <c r="L55" s="1339"/>
      <c r="M55" s="1321"/>
      <c r="N55" s="1321"/>
      <c r="P55" s="1316"/>
      <c r="Q55" s="1317"/>
      <c r="R55" s="1316"/>
      <c r="S55" s="1322"/>
      <c r="T55" s="1325" t="s">
        <v>417</v>
      </c>
      <c r="U55" s="1324"/>
      <c r="V55" s="1324"/>
      <c r="W55" s="1324"/>
      <c r="X55" s="1324"/>
      <c r="Y55" s="1324"/>
      <c r="Z55" s="1324"/>
      <c r="AA55" s="1324"/>
      <c r="AB55" s="1324"/>
      <c r="AC55" s="1324"/>
      <c r="AD55" s="1324"/>
      <c r="AE55" s="1324"/>
      <c r="AF55" s="1324"/>
      <c r="AG55" s="1324"/>
      <c r="AH55" s="1324"/>
      <c r="AI55" s="1324"/>
      <c r="AJ55" s="1324"/>
      <c r="AK55" s="1324"/>
      <c r="AL55" s="1324"/>
      <c r="AM55" s="1324"/>
      <c r="AO55" s="789"/>
      <c r="AP55" s="789" t="str">
        <f>IF(T55="","",T55)</f>
        <v>Добавить централизованную систему для дифференциации</v>
      </c>
      <c r="AQ55" s="789"/>
      <c r="AR55" s="789"/>
      <c r="AS55" s="518">
        <v>0</v>
      </c>
    </row>
    <row s="1642" customFormat="1" customHeight="1" ht="0">
      <c r="A56" s="1343" t="s">
        <v>190</v>
      </c>
      <c r="B56" s="1343"/>
      <c r="C56" s="1343"/>
      <c r="D56" s="1343"/>
      <c r="E56" s="2258"/>
      <c r="F56" s="1343"/>
      <c r="G56" s="1343"/>
      <c r="H56" s="1343"/>
      <c r="I56" s="1343"/>
      <c r="J56" s="1343"/>
      <c r="K56" s="1343"/>
      <c r="L56" s="1346"/>
      <c r="M56" s="1321"/>
      <c r="N56" s="1321"/>
      <c r="O56" s="518"/>
      <c r="P56" s="380"/>
      <c r="Q56" s="1344"/>
      <c r="R56" s="380"/>
      <c r="S56" s="1322"/>
      <c r="T56" s="1325" t="s">
        <v>418</v>
      </c>
      <c r="U56" s="1324"/>
      <c r="V56" s="1324"/>
      <c r="W56" s="1324"/>
      <c r="X56" s="1324"/>
      <c r="Y56" s="1324"/>
      <c r="Z56" s="1324"/>
      <c r="AA56" s="1324"/>
      <c r="AB56" s="1324"/>
      <c r="AC56" s="1324"/>
      <c r="AD56" s="1324"/>
      <c r="AE56" s="1324"/>
      <c r="AF56" s="1324"/>
      <c r="AG56" s="1324"/>
      <c r="AH56" s="1324"/>
      <c r="AI56" s="1324"/>
      <c r="AJ56" s="1324"/>
      <c r="AK56" s="1324"/>
      <c r="AL56" s="1324"/>
      <c r="AM56" s="1324"/>
      <c r="AO56" s="500"/>
      <c r="AP56" s="500" t="str">
        <f>IF(T56="","",T56)</f>
        <v>Добавить территорию для дифференциации</v>
      </c>
      <c r="AQ56" s="500"/>
      <c r="AR56" s="500"/>
      <c r="AS56" s="511">
        <v>0</v>
      </c>
    </row>
    <row s="1642" customFormat="1" customHeight="1" ht="4.2">
      <c r="A57" s="1314"/>
      <c r="B57" s="1314"/>
      <c r="C57" s="1314"/>
      <c r="D57" s="1314"/>
      <c r="E57" s="1343"/>
      <c r="F57" s="1314"/>
      <c r="G57" s="1314"/>
      <c r="H57" s="1314"/>
      <c r="I57" s="1314"/>
      <c r="J57" s="1314"/>
      <c r="K57" s="1314"/>
      <c r="L57" s="1339"/>
      <c r="M57" s="1321"/>
      <c r="N57" s="1321"/>
      <c r="P57" s="1316"/>
      <c r="Q57" s="1317"/>
      <c r="R57" s="1316"/>
      <c r="S57" s="1322"/>
      <c r="T57" s="1325" t="s">
        <v>450</v>
      </c>
      <c r="U57" s="1324"/>
      <c r="V57" s="1324"/>
      <c r="W57" s="1324"/>
      <c r="X57" s="1324"/>
      <c r="Y57" s="1324"/>
      <c r="Z57" s="1324"/>
      <c r="AA57" s="1324"/>
      <c r="AB57" s="1324"/>
      <c r="AC57" s="1324"/>
      <c r="AD57" s="1324"/>
      <c r="AE57" s="1324"/>
      <c r="AF57" s="1324"/>
      <c r="AG57" s="1324"/>
      <c r="AH57" s="1324"/>
      <c r="AI57" s="1324"/>
      <c r="AJ57" s="1324"/>
      <c r="AK57" s="1324"/>
      <c r="AL57" s="1324"/>
      <c r="AM57" s="1324"/>
      <c r="AO57" s="789"/>
      <c r="AP57" s="789" t="str">
        <f>IF(T57="","",T57)</f>
        <v>Добавить наименование тарифа</v>
      </c>
      <c r="AQ57" s="789"/>
      <c r="AR57" s="789"/>
      <c r="AS57" s="518">
        <v>4</v>
      </c>
    </row>
    <row customHeight="1" ht="11.549999999999999">
      <c r="M58" s="1160"/>
      <c r="N58" s="1160"/>
      <c r="O58" s="537"/>
      <c r="P58" s="1155"/>
      <c r="Q58" s="1155"/>
      <c r="R58" s="1155"/>
      <c r="S58" s="1155"/>
      <c r="AN58" s="1155"/>
      <c r="AO58" s="1155"/>
      <c r="AP58" s="1155"/>
      <c r="AQ58" s="1155"/>
      <c r="AR58" s="1155"/>
      <c r="AS58" s="1155">
        <v>11</v>
      </c>
    </row>
    <row customHeight="1" ht="14.699999999999998">
      <c r="O59" s="537"/>
      <c r="S59" s="1253"/>
      <c r="T59" s="2285"/>
      <c r="U59" s="2285"/>
      <c r="V59" s="2285"/>
      <c r="W59" s="2285"/>
      <c r="X59" s="2285"/>
      <c r="Y59" s="2285"/>
      <c r="Z59" s="2285"/>
      <c r="AA59" s="2285"/>
      <c r="AB59" s="2285"/>
      <c r="AC59" s="2285"/>
      <c r="AD59" s="2285"/>
      <c r="AE59" s="2285"/>
      <c r="AF59" s="2285"/>
      <c r="AG59" s="2285"/>
      <c r="AH59" s="2285"/>
      <c r="AI59" s="2285"/>
      <c r="AJ59" s="2285"/>
      <c r="AK59" s="2285"/>
      <c r="AL59" s="2285"/>
      <c r="AM59" s="2285"/>
      <c r="AS59" s="1155">
        <v>14</v>
      </c>
    </row>
    <row customHeight="1" ht="14.699999999999998">
      <c r="O60" s="537"/>
      <c r="T60" s="2285"/>
      <c r="U60" s="2285"/>
      <c r="V60" s="2285"/>
      <c r="W60" s="2285"/>
      <c r="X60" s="2285"/>
      <c r="Y60" s="2285"/>
      <c r="Z60" s="2285"/>
      <c r="AA60" s="2285"/>
      <c r="AB60" s="2285"/>
      <c r="AC60" s="2285"/>
      <c r="AD60" s="2285"/>
      <c r="AE60" s="2285"/>
      <c r="AF60" s="2285"/>
      <c r="AG60" s="2285"/>
      <c r="AH60" s="2285"/>
      <c r="AI60" s="2285"/>
      <c r="AJ60" s="2285"/>
      <c r="AK60" s="2285"/>
      <c r="AL60" s="2285"/>
      <c r="AM60" s="2285"/>
      <c r="AS60" s="1155">
        <v>14</v>
      </c>
    </row>
    <row customHeight="1" ht="14.699999999999998">
      <c r="O61" s="537"/>
      <c r="T61" s="2285"/>
      <c r="U61" s="2285"/>
      <c r="V61" s="2285"/>
      <c r="W61" s="2285"/>
      <c r="X61" s="2285"/>
      <c r="Y61" s="2285"/>
      <c r="Z61" s="2285"/>
      <c r="AA61" s="2285"/>
      <c r="AB61" s="2285"/>
      <c r="AC61" s="2285"/>
      <c r="AD61" s="2285"/>
      <c r="AE61" s="2285"/>
      <c r="AF61" s="2285"/>
      <c r="AG61" s="2285"/>
      <c r="AH61" s="2285"/>
      <c r="AI61" s="2285"/>
      <c r="AJ61" s="2285"/>
      <c r="AK61" s="2285"/>
      <c r="AL61" s="2285"/>
      <c r="AM61" s="2285"/>
      <c r="AS61" s="1155">
        <v>14</v>
      </c>
    </row>
    <row customHeight="1" ht="14.699999999999998">
      <c r="O62" s="537"/>
      <c r="AS62" s="1155">
        <v>14</v>
      </c>
    </row>
    <row customHeight="1" ht="14.699999999999998">
      <c r="O63" s="537"/>
      <c r="S63" s="1253"/>
      <c r="T63" s="2299"/>
      <c r="U63" s="2285"/>
      <c r="V63" s="2285"/>
      <c r="W63" s="2285"/>
      <c r="X63" s="2285"/>
      <c r="Y63" s="2285"/>
      <c r="Z63" s="2285"/>
      <c r="AA63" s="2285"/>
      <c r="AB63" s="2285"/>
      <c r="AC63" s="2285"/>
      <c r="AD63" s="2285"/>
      <c r="AE63" s="2285"/>
      <c r="AF63" s="2285"/>
      <c r="AG63" s="2285"/>
      <c r="AH63" s="2285"/>
      <c r="AI63" s="2285"/>
      <c r="AJ63" s="2285"/>
      <c r="AK63" s="2285"/>
      <c r="AL63" s="2285"/>
      <c r="AM63" s="2285"/>
      <c r="AS63" s="1155">
        <v>14</v>
      </c>
    </row>
    <row customHeight="1" ht="14.699999999999998">
      <c r="O64" s="537"/>
      <c r="T64" s="2285"/>
      <c r="U64" s="2285"/>
      <c r="V64" s="2285"/>
      <c r="W64" s="2285"/>
      <c r="X64" s="2285"/>
      <c r="Y64" s="2285"/>
      <c r="Z64" s="2285"/>
      <c r="AA64" s="2285"/>
      <c r="AB64" s="2285"/>
      <c r="AC64" s="2285"/>
      <c r="AD64" s="2285"/>
      <c r="AE64" s="2285"/>
      <c r="AF64" s="2285"/>
      <c r="AG64" s="2285"/>
      <c r="AH64" s="2285"/>
      <c r="AI64" s="2285"/>
      <c r="AJ64" s="2285"/>
      <c r="AK64" s="2285"/>
      <c r="AL64" s="2285"/>
      <c r="AM64" s="2285"/>
      <c r="AS64" s="1155">
        <v>14</v>
      </c>
    </row>
    <row customHeight="1" ht="14.699999999999998">
      <c r="T65" s="2285"/>
      <c r="U65" s="2285"/>
      <c r="V65" s="2285"/>
      <c r="W65" s="2285"/>
      <c r="X65" s="2285"/>
      <c r="Y65" s="2285"/>
      <c r="Z65" s="2285"/>
      <c r="AA65" s="2285"/>
      <c r="AB65" s="2285"/>
      <c r="AC65" s="2285"/>
      <c r="AD65" s="2285"/>
      <c r="AE65" s="2285"/>
      <c r="AF65" s="2285"/>
      <c r="AG65" s="2285"/>
      <c r="AH65" s="2285"/>
      <c r="AI65" s="2285"/>
      <c r="AJ65" s="2285"/>
      <c r="AK65" s="2285"/>
      <c r="AL65" s="2285"/>
      <c r="AM65" s="2285"/>
      <c r="AS65" s="1155">
        <v>14</v>
      </c>
    </row>
    <row customHeight="1" ht="22.5" hidden="1">
      <c r="A66" s="1160" t="s">
        <v>82</v>
      </c>
      <c r="B66" s="1160">
        <v>0</v>
      </c>
      <c r="C66" s="1160">
        <v>0</v>
      </c>
      <c r="D66" s="1160">
        <v>0</v>
      </c>
      <c r="E66" s="1160">
        <v>0</v>
      </c>
      <c r="F66" s="1160">
        <v>0</v>
      </c>
      <c r="G66" s="1160">
        <v>0</v>
      </c>
      <c r="H66" s="1160">
        <v>0</v>
      </c>
      <c r="I66" s="1160">
        <v>0</v>
      </c>
      <c r="J66" s="1160">
        <v>0</v>
      </c>
      <c r="K66" s="1160">
        <v>0</v>
      </c>
      <c r="L66" s="1329">
        <v>0</v>
      </c>
      <c r="M66" s="1362">
        <v>0</v>
      </c>
      <c r="N66" s="1362">
        <v>0</v>
      </c>
      <c r="O66" s="1362">
        <v>0</v>
      </c>
      <c r="P66" s="1328">
        <v>0</v>
      </c>
      <c r="Q66" s="344">
        <v>3</v>
      </c>
      <c r="R66" s="344">
        <v>3</v>
      </c>
      <c r="S66" s="581">
        <v>12</v>
      </c>
      <c r="T66" s="1155">
        <v>31</v>
      </c>
      <c r="U66" s="1155">
        <v>0</v>
      </c>
      <c r="V66" s="1155">
        <v>0</v>
      </c>
      <c r="W66" s="1155">
        <v>0</v>
      </c>
      <c r="X66" s="1155">
        <v>0</v>
      </c>
      <c r="Y66" s="1155">
        <v>0</v>
      </c>
      <c r="Z66" s="1155">
        <v>0</v>
      </c>
      <c r="AA66" s="1155">
        <v>0</v>
      </c>
      <c r="AB66" s="1155">
        <v>0</v>
      </c>
      <c r="AC66" s="1155">
        <v>0</v>
      </c>
      <c r="AD66" s="1155">
        <v>24</v>
      </c>
      <c r="AE66" s="1155">
        <v>0</v>
      </c>
      <c r="AF66" s="1155">
        <v>24</v>
      </c>
      <c r="AG66" s="1155">
        <v>24</v>
      </c>
      <c r="AH66" s="1155">
        <v>11</v>
      </c>
      <c r="AI66" s="1155">
        <v>3</v>
      </c>
      <c r="AJ66" s="1155">
        <v>11</v>
      </c>
      <c r="AK66" s="1155">
        <v>0</v>
      </c>
      <c r="AL66" s="1155">
        <v>4</v>
      </c>
      <c r="AM66" s="1155">
        <v>115</v>
      </c>
      <c r="AN66" s="511">
        <v>10</v>
      </c>
      <c r="AO66" s="511">
        <v>10</v>
      </c>
      <c r="AP66" s="511">
        <v>10</v>
      </c>
      <c r="AQ66" s="511">
        <v>10</v>
      </c>
      <c r="AR66" s="511">
        <v>10</v>
      </c>
      <c r="AS66" s="1155">
        <v>23</v>
      </c>
    </row>
  </sheetData>
  <sheetProtection formatColumns="0" formatRows="0" autoFilter="0" sort="0" insertRows="0" insertColumns="1" deleteRows="0" deleteColumns="0"/>
  <mergeCells count="113">
    <mergeCell ref="V37:AC37"/>
    <mergeCell ref="AD37:AK37"/>
    <mergeCell ref="AI49:AI50"/>
    <mergeCell ref="AJ49:AJ50"/>
    <mergeCell ref="AK49:AK50"/>
    <mergeCell ref="T65:AM65"/>
    <mergeCell ref="S34:T34"/>
    <mergeCell ref="V34:AB34"/>
    <mergeCell ref="AD34:AJ34"/>
    <mergeCell ref="S35:T35"/>
    <mergeCell ref="V35:AB35"/>
    <mergeCell ref="AD35:AJ35"/>
    <mergeCell ref="T63:AM63"/>
    <mergeCell ref="T64:AM64"/>
    <mergeCell ref="AM49:AM51"/>
    <mergeCell ref="T59:AM59"/>
    <mergeCell ref="T60:AM60"/>
    <mergeCell ref="T61:AM61"/>
    <mergeCell ref="V47:AC47"/>
    <mergeCell ref="AD47:AL47"/>
    <mergeCell ref="AA42:AB42"/>
    <mergeCell ref="AI42:AJ42"/>
    <mergeCell ref="AE40:AE41"/>
    <mergeCell ref="AF40:AG40"/>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J48:J51"/>
    <mergeCell ref="Q48:Q51"/>
    <mergeCell ref="V48:AC48"/>
    <mergeCell ref="AD48:AL48"/>
    <mergeCell ref="K49:K50"/>
    <mergeCell ref="Z49:Z50"/>
    <mergeCell ref="AA49:AA50"/>
    <mergeCell ref="AB49:AB50"/>
    <mergeCell ref="AC49:AC50"/>
    <mergeCell ref="AH49:AH50"/>
    <mergeCell ref="S38:AL38"/>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I41:AJ41"/>
    <mergeCell ref="AH40:AJ40"/>
    <mergeCell ref="AA41:AB41"/>
    <mergeCell ref="S31:T31"/>
    <mergeCell ref="V31:AB31"/>
    <mergeCell ref="AD31:AJ31"/>
    <mergeCell ref="S32:T32"/>
    <mergeCell ref="V32:AB32"/>
    <mergeCell ref="AD32:AJ32"/>
    <mergeCell ref="S27:AJ27"/>
    <mergeCell ref="S29:T29"/>
    <mergeCell ref="V29:AB29"/>
    <mergeCell ref="AD29:AJ29"/>
    <mergeCell ref="S30:T30"/>
    <mergeCell ref="V30:AB30"/>
    <mergeCell ref="AD30:AJ30"/>
    <mergeCell ref="AM8:AM10"/>
    <mergeCell ref="AH17:AH18"/>
    <mergeCell ref="AI17:AI18"/>
    <mergeCell ref="AJ17:AJ18"/>
    <mergeCell ref="AK17:AK18"/>
    <mergeCell ref="J7:J10"/>
    <mergeCell ref="Q7:Q10"/>
    <mergeCell ref="V7:AC7"/>
    <mergeCell ref="AD7:AL7"/>
    <mergeCell ref="K8:K9"/>
    <mergeCell ref="Z8:Z9"/>
    <mergeCell ref="AA8:AA9"/>
    <mergeCell ref="AB8:AB9"/>
    <mergeCell ref="AC8:AC9"/>
    <mergeCell ref="AH8:AH9"/>
    <mergeCell ref="AI8:AI9"/>
    <mergeCell ref="AJ8:AJ9"/>
    <mergeCell ref="AK8:AK9"/>
    <mergeCell ref="S26:AJ26"/>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s>
  <dataValidations count="8">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93265 AK49 AK524337 AK8 AK589873 AK655409 AK17 AK720945 AK786481 AK852017 AK917553 AK983089 AK65585 AK131121 AK458801 AI49 AK196657 AI8 AC8 AA8 AI17 AK262193 AA49 AC49 AK327729"/>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89283AB-8D12-C939-4645-85BEB0417CFB}" mc:Ignorable="x14ac xr xr2 xr3">
  <sheetPr>
    <tabColor theme="6" tint="0.4"/>
  </sheetPr>
  <dimension ref="A1:AW72"/>
  <sheetViews>
    <sheetView showGridLines="0" zoomScale="90" workbookViewId="0">
      <pane xSplit="32" ySplit="48" topLeftCell="AG49" activePane="bottomRight" state="frozen"/>
      <selection pane="bottomLeft" activeCell="A49" sqref="A49"/>
      <selection pane="topRight" activeCell="AG1" sqref="AG1"/>
      <selection pane="bottomRight" activeCell="A1" sqref="A1"/>
    </sheetView>
  </sheetViews>
  <sheetFormatPr defaultColWidth="10.57421875" customHeight="1" defaultRowHeight="14.25"/>
  <cols>
    <col min="1" max="1" style="1635" width="10.57421875" hidden="1"/>
    <col min="2" max="2" style="1635" width="11.00390625" hidden="1" customWidth="1"/>
    <col min="3" max="3" style="1635" width="10.57421875" hidden="1"/>
    <col min="4" max="4" style="1635" width="11.8515625" hidden="1" customWidth="1"/>
    <col min="5" max="5" style="1635" width="10.00390625" hidden="1" customWidth="1"/>
    <col min="6" max="6" style="1635" width="8.7109375" hidden="1" customWidth="1"/>
    <col min="7" max="7" style="1635" width="7.57421875" hidden="1" customWidth="1"/>
    <col min="8" max="8" style="1635" width="11.421875" hidden="1" customWidth="1"/>
    <col min="9" max="9" style="1635" width="12.00390625" hidden="1" customWidth="1"/>
    <col min="10" max="10" style="1635" width="9.8515625" hidden="1" customWidth="1"/>
    <col min="11" max="12" style="1635" width="11.421875" hidden="1" customWidth="1"/>
    <col min="13" max="13" style="2125" width="19.140625" hidden="1" customWidth="1"/>
    <col min="14" max="15" style="2397" width="12.28125" hidden="1" customWidth="1"/>
    <col min="16" max="16" style="2397" width="23.421875" hidden="1" customWidth="1"/>
    <col min="17" max="17" style="2397" width="3.7109375" hidden="1" customWidth="1"/>
    <col min="18" max="20" style="344" width="3.00390625" customWidth="1"/>
    <col min="21" max="21" style="2407" width="12.00390625" customWidth="1"/>
    <col min="22" max="22" style="1635" width="31.00390625" customWidth="1"/>
    <col min="23" max="23" style="1635" width="0.140625" customWidth="1"/>
    <col min="24" max="28" style="1635" width="21.7109375" hidden="1" customWidth="1"/>
    <col min="29" max="29" style="1635" width="11.7109375" hidden="1" customWidth="1"/>
    <col min="30" max="30" style="1635" width="3.7109375" hidden="1" customWidth="1"/>
    <col min="31" max="31" style="1635" width="11.7109375" hidden="1" customWidth="1"/>
    <col min="32" max="32" style="1635" width="8.57421875" hidden="1" customWidth="1"/>
    <col min="33" max="33" style="1635" width="21.7109375" customWidth="1"/>
    <col min="34" max="37" style="1635" width="21.00390625" customWidth="1"/>
    <col min="38" max="38" style="1635" width="11.00390625" customWidth="1"/>
    <col min="39" max="39" style="1635" width="3.7109375" customWidth="1"/>
    <col min="40" max="40" style="1635" width="11.00390625" customWidth="1"/>
    <col min="41" max="41" style="1635" width="8.57421875" hidden="1" customWidth="1"/>
    <col min="42" max="42" style="1635" width="4.00390625" customWidth="1"/>
    <col min="43" max="43" style="1635" width="115.00390625" customWidth="1"/>
    <col min="44" max="48" style="1642" width="10.00390625" customWidth="1"/>
    <col min="49" max="49" style="1635" width="10.57421875" hidden="1"/>
  </cols>
  <sheetData>
    <row customHeight="1" ht="22.5" hidden="1">
      <c r="AB1" s="327"/>
      <c r="AC1" s="327"/>
      <c r="AK1" s="327"/>
      <c r="AL1" s="327"/>
      <c r="AW1" s="1155" t="s">
        <v>14</v>
      </c>
    </row>
    <row customHeight="1" ht="21" hidden="1">
      <c r="A2" s="1267"/>
      <c r="B2" s="1267"/>
      <c r="C2" s="1267"/>
      <c r="D2" s="1267"/>
      <c r="E2" s="2289">
        <v>1</v>
      </c>
      <c r="F2" s="1267"/>
      <c r="G2" s="1267"/>
      <c r="H2" s="1267"/>
      <c r="I2" s="1267"/>
      <c r="J2" s="1267"/>
      <c r="K2" s="1267"/>
      <c r="L2" s="1267"/>
      <c r="M2" s="1310"/>
      <c r="N2" s="688"/>
      <c r="O2" s="688"/>
      <c r="P2" s="688"/>
      <c r="Q2" s="361"/>
      <c r="R2" s="360"/>
      <c r="S2" s="360"/>
      <c r="T2" s="355"/>
      <c r="U2" s="1336">
        <f>INDEX(PT_DIFFERENTIATION_NUM_NTAR,MATCH(A2,PT_DIFFERENTIATION_NTAR_ID,0))</f>
      </c>
      <c r="V2" s="298" t="s">
        <v>127</v>
      </c>
      <c r="W2" s="300"/>
      <c r="X2" s="2242"/>
      <c r="Y2" s="2243"/>
      <c r="Z2" s="2243"/>
      <c r="AA2" s="2243"/>
      <c r="AB2" s="2243"/>
      <c r="AC2" s="2243"/>
      <c r="AD2" s="2243"/>
      <c r="AE2" s="2243"/>
      <c r="AF2" s="2244"/>
      <c r="AG2" s="2242">
        <f>INDEX(PT_DIFFERENTIATION_NTAR,MATCH(A2,PT_DIFFERENTIATION_NTAR_ID,0))</f>
      </c>
      <c r="AH2" s="2243"/>
      <c r="AI2" s="2243"/>
      <c r="AJ2" s="2243"/>
      <c r="AK2" s="2243"/>
      <c r="AL2" s="2243"/>
      <c r="AM2" s="2243"/>
      <c r="AN2" s="2243"/>
      <c r="AO2" s="2243"/>
      <c r="AP2" s="2244"/>
      <c r="AQ2" s="1258" t="s">
        <v>398</v>
      </c>
      <c r="AS2" s="500"/>
      <c r="AT2" s="500" t="str">
        <f>IF(V2="","",V2)</f>
        <v>Наименование тарифа</v>
      </c>
      <c r="AU2" s="500"/>
      <c r="AV2" s="500"/>
      <c r="AW2" s="1155">
        <v>0</v>
      </c>
    </row>
    <row customHeight="1" ht="21" hidden="1">
      <c r="A3" s="1267"/>
      <c r="B3" s="1267"/>
      <c r="C3" s="1267"/>
      <c r="D3" s="1267"/>
      <c r="E3" s="2290"/>
      <c r="F3" s="2289">
        <v>1</v>
      </c>
      <c r="G3" s="1267"/>
      <c r="H3" s="1267"/>
      <c r="I3" s="1267"/>
      <c r="J3" s="1267"/>
      <c r="K3" s="1267"/>
      <c r="L3" s="1267"/>
      <c r="M3" s="1310"/>
      <c r="N3" s="688"/>
      <c r="O3" s="688"/>
      <c r="P3" s="688"/>
      <c r="Q3" s="1332"/>
      <c r="R3" s="352"/>
      <c r="S3" s="509"/>
      <c r="T3" s="353"/>
      <c r="U3" s="1336">
        <f>INDEX(PT_DIFFERENTIATION_NUM_TER,MATCH(B3,PT_DIFFERENTIATION_TER_ID,0))</f>
      </c>
      <c r="V3" s="308" t="s">
        <v>399</v>
      </c>
      <c r="W3" s="300"/>
      <c r="X3" s="2242"/>
      <c r="Y3" s="2243"/>
      <c r="Z3" s="2243"/>
      <c r="AA3" s="2243"/>
      <c r="AB3" s="2243"/>
      <c r="AC3" s="2243"/>
      <c r="AD3" s="2243"/>
      <c r="AE3" s="2243"/>
      <c r="AF3" s="2244"/>
      <c r="AG3" s="2242">
        <f>INDEX(PT_DIFFERENTIATION_TER,MATCH(B3,PT_DIFFERENTIATION_TER_ID,0))</f>
      </c>
      <c r="AH3" s="2243"/>
      <c r="AI3" s="2243"/>
      <c r="AJ3" s="2243"/>
      <c r="AK3" s="2243"/>
      <c r="AL3" s="2243"/>
      <c r="AM3" s="2243"/>
      <c r="AN3" s="2243"/>
      <c r="AO3" s="2243"/>
      <c r="AP3" s="2244"/>
      <c r="AQ3" s="1258" t="s">
        <v>400</v>
      </c>
      <c r="AS3" s="500"/>
      <c r="AT3" s="500" t="str">
        <f>IF(V3="","",V3)</f>
        <v>Территория действия тарифа</v>
      </c>
      <c r="AU3" s="500"/>
      <c r="AV3" s="500"/>
      <c r="AW3" s="1155">
        <v>0</v>
      </c>
    </row>
    <row customHeight="1" ht="22.5" hidden="1">
      <c r="A4" s="1267"/>
      <c r="B4" s="1267"/>
      <c r="C4" s="1267"/>
      <c r="D4" s="1267"/>
      <c r="E4" s="2290"/>
      <c r="F4" s="2290"/>
      <c r="G4" s="2289">
        <v>1</v>
      </c>
      <c r="H4" s="1267"/>
      <c r="I4" s="1267"/>
      <c r="J4" s="1267"/>
      <c r="K4" s="1267"/>
      <c r="L4" s="1267"/>
      <c r="M4" s="1310"/>
      <c r="N4" s="688"/>
      <c r="O4" s="688"/>
      <c r="P4" s="688"/>
      <c r="Q4" s="354"/>
      <c r="R4" s="352"/>
      <c r="S4" s="509"/>
      <c r="T4" s="353"/>
      <c r="U4" s="1336">
        <f>INDEX(PT_DIFFERENTIATION_NUM_CS,MATCH(C4,PT_DIFFERENTIATION_CS_ID,0))</f>
      </c>
      <c r="V4" s="309" t="s">
        <v>401</v>
      </c>
      <c r="W4" s="300"/>
      <c r="X4" s="2242"/>
      <c r="Y4" s="2243"/>
      <c r="Z4" s="2243"/>
      <c r="AA4" s="2243"/>
      <c r="AB4" s="2243"/>
      <c r="AC4" s="2243"/>
      <c r="AD4" s="2243"/>
      <c r="AE4" s="2243"/>
      <c r="AF4" s="2244"/>
      <c r="AG4" s="2242">
        <f>INDEX(PT_DIFFERENTIATION_CS,MATCH(C4,PT_DIFFERENTIATION_CS_ID,0))</f>
      </c>
      <c r="AH4" s="2243"/>
      <c r="AI4" s="2243"/>
      <c r="AJ4" s="2243"/>
      <c r="AK4" s="2243"/>
      <c r="AL4" s="2243"/>
      <c r="AM4" s="2243"/>
      <c r="AN4" s="2243"/>
      <c r="AO4" s="2243"/>
      <c r="AP4" s="2244"/>
      <c r="AQ4" s="1258" t="s">
        <v>402</v>
      </c>
      <c r="AS4" s="500"/>
      <c r="AT4" s="500" t="str">
        <f>IF(V4="","",V4)</f>
        <v>Наименование системы теплоснабжения </v>
      </c>
      <c r="AU4" s="500"/>
      <c r="AV4" s="500"/>
      <c r="AW4" s="1155">
        <v>0</v>
      </c>
    </row>
    <row customHeight="1" ht="21" hidden="1">
      <c r="A5" s="1267"/>
      <c r="B5" s="1267"/>
      <c r="C5" s="1267"/>
      <c r="D5" s="1267"/>
      <c r="E5" s="2290"/>
      <c r="F5" s="2290"/>
      <c r="G5" s="2290"/>
      <c r="H5" s="2289">
        <v>1</v>
      </c>
      <c r="I5" s="1267"/>
      <c r="J5" s="1267"/>
      <c r="K5" s="1267"/>
      <c r="L5" s="1267"/>
      <c r="M5" s="1310"/>
      <c r="N5" s="688"/>
      <c r="O5" s="688"/>
      <c r="P5" s="688"/>
      <c r="Q5" s="354"/>
      <c r="R5" s="352"/>
      <c r="S5" s="509"/>
      <c r="T5" s="353"/>
      <c r="U5" s="1336">
        <f>INDEX(PT_DIFFERENTIATION_NUM_IST_TE,MATCH(D5,PT_DIFFERENTIATION_IST_TE_ID,0))</f>
      </c>
      <c r="V5" s="310" t="s">
        <v>403</v>
      </c>
      <c r="W5" s="300"/>
      <c r="X5" s="2242"/>
      <c r="Y5" s="2243"/>
      <c r="Z5" s="2243"/>
      <c r="AA5" s="2243"/>
      <c r="AB5" s="2243"/>
      <c r="AC5" s="2243"/>
      <c r="AD5" s="2243"/>
      <c r="AE5" s="2243"/>
      <c r="AF5" s="2244"/>
      <c r="AG5" s="2242">
        <f>INDEX(PT_DIFFERENTIATION_IST_TE,MATCH(D5,PT_DIFFERENTIATION_IST_TE_ID,0))</f>
      </c>
      <c r="AH5" s="2243"/>
      <c r="AI5" s="2243"/>
      <c r="AJ5" s="2243"/>
      <c r="AK5" s="2243"/>
      <c r="AL5" s="2243"/>
      <c r="AM5" s="2243"/>
      <c r="AN5" s="2243"/>
      <c r="AO5" s="2243"/>
      <c r="AP5" s="2244"/>
      <c r="AQ5" s="1258" t="s">
        <v>404</v>
      </c>
      <c r="AS5" s="500"/>
      <c r="AT5" s="500" t="str">
        <f>IF(V5="","",V5)</f>
        <v>Источник тепловой энергии  </v>
      </c>
      <c r="AU5" s="500"/>
      <c r="AV5" s="500"/>
      <c r="AW5" s="1155">
        <v>0</v>
      </c>
    </row>
    <row customHeight="1" ht="14.25" hidden="1">
      <c r="A6" s="1267"/>
      <c r="B6" s="1267"/>
      <c r="C6" s="1267"/>
      <c r="D6" s="1267"/>
      <c r="E6" s="2290"/>
      <c r="F6" s="2290"/>
      <c r="G6" s="2290"/>
      <c r="H6" s="2290"/>
      <c r="I6" s="2127">
        <f>U5&amp;".1"</f>
      </c>
      <c r="J6" s="1267"/>
      <c r="K6" s="1267"/>
      <c r="L6" s="1267"/>
      <c r="M6" s="1310" t="s">
        <v>405</v>
      </c>
      <c r="N6" s="509"/>
      <c r="Q6" s="2257">
        <v>1</v>
      </c>
      <c r="R6" s="1331"/>
      <c r="S6" s="1331"/>
      <c r="T6" s="356"/>
      <c r="U6" s="1042"/>
      <c r="V6" s="1383"/>
      <c r="W6" s="1384"/>
      <c r="X6" s="2296"/>
      <c r="Y6" s="2297"/>
      <c r="Z6" s="2297"/>
      <c r="AA6" s="2297"/>
      <c r="AB6" s="2297"/>
      <c r="AC6" s="2297"/>
      <c r="AD6" s="2297"/>
      <c r="AE6" s="2297"/>
      <c r="AF6" s="2298"/>
      <c r="AG6" s="2296"/>
      <c r="AH6" s="2297"/>
      <c r="AI6" s="2297"/>
      <c r="AJ6" s="2297"/>
      <c r="AK6" s="2297"/>
      <c r="AL6" s="2297"/>
      <c r="AM6" s="2297"/>
      <c r="AN6" s="2297"/>
      <c r="AO6" s="2297"/>
      <c r="AP6" s="2298"/>
      <c r="AQ6" s="1385"/>
      <c r="AS6" s="500"/>
      <c r="AT6" s="500" t="str">
        <f>IF(V6="","",V6)</f>
        <v/>
      </c>
      <c r="AU6" s="500"/>
      <c r="AV6" s="500"/>
      <c r="AW6" s="1155">
        <v>0</v>
      </c>
    </row>
    <row customHeight="1" ht="21" hidden="1">
      <c r="A7" s="1267"/>
      <c r="B7" s="1267"/>
      <c r="C7" s="1267"/>
      <c r="D7" s="1267"/>
      <c r="E7" s="2290"/>
      <c r="F7" s="2290"/>
      <c r="G7" s="2290"/>
      <c r="H7" s="2290"/>
      <c r="I7" s="2101"/>
      <c r="J7" s="2127">
        <f>I6&amp;".1"</f>
      </c>
      <c r="K7" s="1267"/>
      <c r="L7" s="1267"/>
      <c r="M7" s="1310" t="s">
        <v>408</v>
      </c>
      <c r="N7" s="509"/>
      <c r="O7" s="327"/>
      <c r="Q7" s="2257"/>
      <c r="R7" s="2257">
        <v>1</v>
      </c>
      <c r="S7" s="518"/>
      <c r="T7" s="357"/>
      <c r="U7" s="1336">
        <f>$J7</f>
      </c>
      <c r="V7" s="286" t="s">
        <v>409</v>
      </c>
      <c r="W7" s="300"/>
      <c r="X7" s="2245"/>
      <c r="Y7" s="2246"/>
      <c r="Z7" s="2246"/>
      <c r="AA7" s="2246"/>
      <c r="AB7" s="2246"/>
      <c r="AC7" s="2235"/>
      <c r="AD7" s="2235"/>
      <c r="AE7" s="2235"/>
      <c r="AF7" s="2308"/>
      <c r="AG7" s="2245"/>
      <c r="AH7" s="2246"/>
      <c r="AI7" s="2246"/>
      <c r="AJ7" s="2246"/>
      <c r="AK7" s="2246"/>
      <c r="AL7" s="2246"/>
      <c r="AM7" s="2246"/>
      <c r="AN7" s="2246"/>
      <c r="AO7" s="2246"/>
      <c r="AP7" s="2247"/>
      <c r="AQ7" s="1258" t="s">
        <v>410</v>
      </c>
      <c r="AS7" s="500"/>
      <c r="AT7" s="500" t="str">
        <f>IF(V7="","",V7)</f>
        <v>Группа потребителей</v>
      </c>
      <c r="AU7" s="500"/>
      <c r="AV7" s="500"/>
      <c r="AW7" s="1155">
        <v>0</v>
      </c>
    </row>
    <row customHeight="1" ht="21" hidden="1">
      <c r="A8" s="1267"/>
      <c r="B8" s="1267"/>
      <c r="C8" s="1267"/>
      <c r="D8" s="1267"/>
      <c r="E8" s="2290"/>
      <c r="F8" s="2290"/>
      <c r="G8" s="2290"/>
      <c r="H8" s="2290"/>
      <c r="I8" s="2101"/>
      <c r="J8" s="2101"/>
      <c r="K8" s="2127">
        <f>J7&amp;".1"</f>
      </c>
      <c r="L8" s="139"/>
      <c r="M8" s="1310" t="s">
        <v>411</v>
      </c>
      <c r="N8" s="509"/>
      <c r="O8" s="327"/>
      <c r="P8" s="327"/>
      <c r="Q8" s="2257"/>
      <c r="R8" s="2257"/>
      <c r="S8" s="2257">
        <v>1</v>
      </c>
      <c r="T8" s="357"/>
      <c r="U8" s="1336">
        <f>$K8</f>
      </c>
      <c r="V8" s="1347"/>
      <c r="W8" s="300"/>
      <c r="X8" s="751"/>
      <c r="Y8" s="751"/>
      <c r="Z8" s="751"/>
      <c r="AA8" s="751"/>
      <c r="AB8" s="1405"/>
      <c r="AC8" s="2265"/>
      <c r="AD8" s="2107" t="s">
        <v>66</v>
      </c>
      <c r="AE8" s="2265"/>
      <c r="AF8" s="2107" t="s">
        <v>66</v>
      </c>
      <c r="AG8" s="1407"/>
      <c r="AH8" s="751"/>
      <c r="AI8" s="751"/>
      <c r="AJ8" s="751"/>
      <c r="AK8" s="1257"/>
      <c r="AL8" s="2265"/>
      <c r="AM8" s="2107" t="s">
        <v>66</v>
      </c>
      <c r="AN8" s="2265"/>
      <c r="AO8" s="2107" t="s">
        <v>66</v>
      </c>
      <c r="AP8" s="325"/>
      <c r="AQ8" s="1307" t="s">
        <v>454</v>
      </c>
      <c r="AR8" s="511">
        <f>STRCHECKDATE(X10:AP10)</f>
      </c>
      <c r="AS8" s="500"/>
      <c r="AT8" s="500" t="str">
        <f>IF(V8="","",V8)</f>
        <v/>
      </c>
      <c r="AU8" s="500"/>
      <c r="AV8" s="500"/>
      <c r="AW8" s="1155">
        <v>0</v>
      </c>
    </row>
    <row customHeight="1" ht="21" hidden="1">
      <c r="A9" s="1267"/>
      <c r="B9" s="1267"/>
      <c r="C9" s="1267"/>
      <c r="D9" s="1267"/>
      <c r="E9" s="2290"/>
      <c r="F9" s="2290"/>
      <c r="G9" s="2290"/>
      <c r="H9" s="2290"/>
      <c r="I9" s="2101"/>
      <c r="J9" s="2101"/>
      <c r="K9" s="2101"/>
      <c r="L9" s="2127">
        <f>K8&amp;".1"</f>
      </c>
      <c r="M9" s="1310"/>
      <c r="N9" s="509"/>
      <c r="O9" s="327"/>
      <c r="P9" s="327"/>
      <c r="Q9" s="2257"/>
      <c r="R9" s="2257"/>
      <c r="S9" s="2257"/>
      <c r="T9" s="357"/>
      <c r="U9" s="1336">
        <f>$L9</f>
      </c>
      <c r="V9" s="1391"/>
      <c r="W9" s="300"/>
      <c r="X9" s="325"/>
      <c r="Y9" s="751"/>
      <c r="Z9" s="751"/>
      <c r="AA9" s="751"/>
      <c r="AB9" s="1405"/>
      <c r="AC9" s="2309"/>
      <c r="AD9" s="2107"/>
      <c r="AE9" s="2309"/>
      <c r="AF9" s="2107"/>
      <c r="AG9" s="1407"/>
      <c r="AH9" s="751"/>
      <c r="AI9" s="751"/>
      <c r="AJ9" s="751"/>
      <c r="AK9" s="1257"/>
      <c r="AL9" s="2309"/>
      <c r="AM9" s="2107"/>
      <c r="AN9" s="2309"/>
      <c r="AO9" s="2107"/>
      <c r="AP9" s="325"/>
      <c r="AQ9" s="2253" t="s">
        <v>455</v>
      </c>
      <c r="AS9" s="500"/>
      <c r="AT9" s="500"/>
      <c r="AU9" s="500"/>
      <c r="AV9" s="500"/>
      <c r="AW9" s="1155">
        <v>0</v>
      </c>
    </row>
    <row customHeight="1" ht="14.25" hidden="1">
      <c r="A10" s="1267"/>
      <c r="B10" s="1267"/>
      <c r="C10" s="1267"/>
      <c r="D10" s="1267"/>
      <c r="E10" s="2290"/>
      <c r="F10" s="2290"/>
      <c r="G10" s="2290"/>
      <c r="H10" s="2290"/>
      <c r="I10" s="2101"/>
      <c r="J10" s="2101"/>
      <c r="K10" s="2101"/>
      <c r="L10" s="2127"/>
      <c r="M10" s="1310"/>
      <c r="N10" s="509"/>
      <c r="O10" s="327"/>
      <c r="P10" s="327"/>
      <c r="Q10" s="2257"/>
      <c r="R10" s="2257"/>
      <c r="S10" s="2257"/>
      <c r="T10" s="357"/>
      <c r="U10" s="1342"/>
      <c r="V10" s="300"/>
      <c r="W10" s="300"/>
      <c r="X10" s="325"/>
      <c r="Y10" s="325"/>
      <c r="Z10" s="325"/>
      <c r="AA10" s="325"/>
      <c r="AB10" s="1406" t="str">
        <f>AC8&amp;"-"&amp;AE8</f>
        <v>-</v>
      </c>
      <c r="AC10" s="2309"/>
      <c r="AD10" s="2107"/>
      <c r="AE10" s="2309"/>
      <c r="AF10" s="2107"/>
      <c r="AG10" s="1382"/>
      <c r="AH10" s="325"/>
      <c r="AI10" s="325"/>
      <c r="AJ10" s="325"/>
      <c r="AK10" s="328" t="str">
        <f>AL8&amp;"-"&amp;AN8</f>
        <v>-</v>
      </c>
      <c r="AL10" s="2309"/>
      <c r="AM10" s="2107"/>
      <c r="AN10" s="2309"/>
      <c r="AO10" s="2107"/>
      <c r="AP10" s="325"/>
      <c r="AQ10" s="2254"/>
      <c r="AS10" s="500"/>
      <c r="AT10" s="500" t="str">
        <f>IF(V10="","",V10)</f>
        <v/>
      </c>
      <c r="AU10" s="500"/>
      <c r="AV10" s="500"/>
      <c r="AW10" s="1155">
        <v>0</v>
      </c>
    </row>
    <row customHeight="1" ht="11.25" hidden="1">
      <c r="A11" s="1267"/>
      <c r="B11" s="1267"/>
      <c r="C11" s="1267"/>
      <c r="D11" s="1267"/>
      <c r="E11" s="2290"/>
      <c r="F11" s="2290"/>
      <c r="G11" s="2290"/>
      <c r="H11" s="2290"/>
      <c r="I11" s="2101"/>
      <c r="J11" s="2101"/>
      <c r="K11" s="2127"/>
      <c r="L11" s="1267"/>
      <c r="M11" s="1310"/>
      <c r="N11" s="509"/>
      <c r="O11" s="327"/>
      <c r="P11" s="327"/>
      <c r="Q11" s="2257"/>
      <c r="R11" s="2257"/>
      <c r="S11" s="2257"/>
      <c r="T11" s="357"/>
      <c r="U11" s="1278"/>
      <c r="V11" s="288" t="s">
        <v>456</v>
      </c>
      <c r="W11" s="1392"/>
      <c r="X11" s="1393"/>
      <c r="Y11" s="1393"/>
      <c r="Z11" s="1393"/>
      <c r="AA11" s="1393"/>
      <c r="AB11" s="1394"/>
      <c r="AC11" s="2309"/>
      <c r="AD11" s="2107"/>
      <c r="AE11" s="2309"/>
      <c r="AF11" s="2107"/>
      <c r="AG11" s="1393"/>
      <c r="AH11" s="1393"/>
      <c r="AI11" s="1393"/>
      <c r="AJ11" s="1393"/>
      <c r="AK11" s="1394"/>
      <c r="AL11" s="2309"/>
      <c r="AM11" s="2107"/>
      <c r="AN11" s="2309"/>
      <c r="AO11" s="2107"/>
      <c r="AP11" s="1395"/>
      <c r="AQ11" s="2254"/>
      <c r="AS11" s="500"/>
      <c r="AT11" s="500"/>
      <c r="AU11" s="500"/>
      <c r="AV11" s="500"/>
      <c r="AW11" s="1155">
        <v>0</v>
      </c>
    </row>
    <row customHeight="1" ht="15" hidden="1">
      <c r="A12" s="1267"/>
      <c r="B12" s="1267"/>
      <c r="C12" s="1267"/>
      <c r="D12" s="1267"/>
      <c r="E12" s="2290"/>
      <c r="F12" s="2290"/>
      <c r="G12" s="2290"/>
      <c r="H12" s="2290"/>
      <c r="I12" s="2101"/>
      <c r="J12" s="2127"/>
      <c r="K12" s="1267"/>
      <c r="L12" s="1267"/>
      <c r="M12" s="1310"/>
      <c r="N12" s="509"/>
      <c r="O12" s="327"/>
      <c r="Q12" s="2257"/>
      <c r="R12" s="2257"/>
      <c r="S12" s="1331"/>
      <c r="T12" s="356"/>
      <c r="U12" s="1278"/>
      <c r="V12" s="287" t="s">
        <v>413</v>
      </c>
      <c r="W12" s="367"/>
      <c r="X12" s="367"/>
      <c r="Y12" s="367"/>
      <c r="Z12" s="367"/>
      <c r="AA12" s="367"/>
      <c r="AB12" s="367"/>
      <c r="AC12" s="1408"/>
      <c r="AD12" s="1408"/>
      <c r="AE12" s="1408"/>
      <c r="AF12" s="1408"/>
      <c r="AG12" s="367"/>
      <c r="AH12" s="367"/>
      <c r="AI12" s="367"/>
      <c r="AJ12" s="367"/>
      <c r="AK12" s="367"/>
      <c r="AL12" s="367"/>
      <c r="AM12" s="367"/>
      <c r="AN12" s="367"/>
      <c r="AO12" s="367"/>
      <c r="AP12" s="324"/>
      <c r="AQ12" s="2255"/>
      <c r="AS12" s="500"/>
      <c r="AT12" s="500" t="str">
        <f>IF(V12="","",V12)</f>
        <v>Добавить вид теплоносителя (параметры теплоносителя)</v>
      </c>
      <c r="AU12" s="500"/>
      <c r="AV12" s="500"/>
      <c r="AW12" s="1155">
        <v>0</v>
      </c>
    </row>
    <row customHeight="1" ht="11.25" hidden="1">
      <c r="A13" s="1267"/>
      <c r="B13" s="1267"/>
      <c r="C13" s="1267"/>
      <c r="D13" s="1267"/>
      <c r="E13" s="2290"/>
      <c r="F13" s="2290"/>
      <c r="G13" s="2290"/>
      <c r="H13" s="2290"/>
      <c r="I13" s="2127"/>
      <c r="J13" s="1267"/>
      <c r="K13" s="1267"/>
      <c r="L13" s="1267"/>
      <c r="M13" s="1310"/>
      <c r="N13" s="509"/>
      <c r="Q13" s="2257"/>
      <c r="R13" s="1331"/>
      <c r="S13" s="1331"/>
      <c r="T13" s="356"/>
      <c r="U13" s="1278"/>
      <c r="V13" s="365" t="s">
        <v>414</v>
      </c>
      <c r="W13" s="367"/>
      <c r="X13" s="367"/>
      <c r="Y13" s="367"/>
      <c r="Z13" s="367"/>
      <c r="AA13" s="367"/>
      <c r="AB13" s="367"/>
      <c r="AC13" s="367"/>
      <c r="AD13" s="367"/>
      <c r="AE13" s="367"/>
      <c r="AF13" s="366"/>
      <c r="AG13" s="367"/>
      <c r="AH13" s="367"/>
      <c r="AI13" s="367"/>
      <c r="AJ13" s="367"/>
      <c r="AK13" s="367"/>
      <c r="AL13" s="367"/>
      <c r="AM13" s="367"/>
      <c r="AN13" s="367"/>
      <c r="AO13" s="366"/>
      <c r="AP13" s="367"/>
      <c r="AQ13" s="303"/>
      <c r="AS13" s="500"/>
      <c r="AT13" s="500" t="str">
        <f>IF(V13="","",V13)</f>
        <v>Добавить группу потребителей</v>
      </c>
      <c r="AU13" s="500"/>
      <c r="AV13" s="500"/>
      <c r="AW13" s="1155">
        <v>0</v>
      </c>
    </row>
    <row customHeight="1" ht="14.25" hidden="1">
      <c r="A14" s="1267"/>
      <c r="B14" s="1267"/>
      <c r="C14" s="1267"/>
      <c r="D14" s="1267"/>
      <c r="E14" s="2290"/>
      <c r="F14" s="2290"/>
      <c r="G14" s="2290"/>
      <c r="H14" s="2289"/>
      <c r="I14" s="1267"/>
      <c r="J14" s="1267"/>
      <c r="K14" s="1267"/>
      <c r="L14" s="1267"/>
      <c r="M14" s="1310"/>
      <c r="N14" s="688"/>
      <c r="O14" s="688"/>
      <c r="P14" s="509"/>
      <c r="Q14" s="360"/>
      <c r="R14" s="375"/>
      <c r="S14" s="355"/>
      <c r="T14" s="360"/>
      <c r="U14" s="1386"/>
      <c r="V14" s="1387"/>
      <c r="W14" s="1388"/>
      <c r="X14" s="1388"/>
      <c r="Y14" s="1388"/>
      <c r="Z14" s="1388"/>
      <c r="AA14" s="1388"/>
      <c r="AB14" s="1388"/>
      <c r="AC14" s="1388"/>
      <c r="AD14" s="1388"/>
      <c r="AE14" s="1388"/>
      <c r="AF14" s="1388"/>
      <c r="AG14" s="1388"/>
      <c r="AH14" s="1388"/>
      <c r="AI14" s="1388"/>
      <c r="AJ14" s="1388"/>
      <c r="AK14" s="1388"/>
      <c r="AL14" s="1388"/>
      <c r="AM14" s="1388"/>
      <c r="AN14" s="1388"/>
      <c r="AO14" s="1388"/>
      <c r="AP14" s="1388"/>
      <c r="AQ14" s="1389"/>
      <c r="AS14" s="500"/>
      <c r="AT14" s="500" t="str">
        <f>IF(V14="","",V14)</f>
        <v/>
      </c>
      <c r="AU14" s="500"/>
      <c r="AV14" s="500"/>
      <c r="AW14" s="1155">
        <v>0</v>
      </c>
    </row>
    <row s="1642" customFormat="1" customHeight="1" ht="14.25" hidden="1">
      <c r="A15" s="1374"/>
      <c r="B15" s="1374"/>
      <c r="C15" s="1374"/>
      <c r="D15" s="1374"/>
      <c r="E15" s="2290"/>
      <c r="F15" s="2290"/>
      <c r="G15" s="2289"/>
      <c r="H15" s="1374"/>
      <c r="I15" s="1374"/>
      <c r="J15" s="1374"/>
      <c r="K15" s="1374"/>
      <c r="L15" s="1374"/>
      <c r="M15" s="1377"/>
      <c r="N15" s="1378"/>
      <c r="O15" s="1378"/>
      <c r="P15" s="351"/>
      <c r="Q15" s="1316"/>
      <c r="R15" s="1317"/>
      <c r="S15" s="1316"/>
      <c r="T15" s="1316"/>
      <c r="U15" s="1318"/>
      <c r="V15" s="1319" t="s">
        <v>416</v>
      </c>
      <c r="W15" s="1320"/>
      <c r="X15" s="1320"/>
      <c r="Y15" s="1320"/>
      <c r="Z15" s="1320"/>
      <c r="AA15" s="1320"/>
      <c r="AB15" s="1320"/>
      <c r="AC15" s="1320"/>
      <c r="AD15" s="1320"/>
      <c r="AE15" s="1320"/>
      <c r="AF15" s="1320"/>
      <c r="AG15" s="1320"/>
      <c r="AH15" s="1320"/>
      <c r="AI15" s="1320"/>
      <c r="AJ15" s="1320"/>
      <c r="AK15" s="1320"/>
      <c r="AL15" s="1320"/>
      <c r="AM15" s="1320"/>
      <c r="AN15" s="1320"/>
      <c r="AO15" s="1320"/>
      <c r="AP15" s="1320"/>
      <c r="AQ15" s="1320"/>
      <c r="AS15" s="789"/>
      <c r="AT15" s="789" t="str">
        <f>IF(V15="","",V15)</f>
        <v>Добавить источник для дифференциации</v>
      </c>
      <c r="AU15" s="789"/>
      <c r="AV15" s="789"/>
      <c r="AW15" s="518">
        <v>0</v>
      </c>
    </row>
    <row s="1642" customFormat="1" customHeight="1" ht="14.25" hidden="1">
      <c r="A16" s="1374"/>
      <c r="B16" s="1374"/>
      <c r="C16" s="1374"/>
      <c r="D16" s="1374"/>
      <c r="E16" s="2290"/>
      <c r="F16" s="2289"/>
      <c r="G16" s="1374"/>
      <c r="H16" s="1374"/>
      <c r="I16" s="1374"/>
      <c r="J16" s="1374"/>
      <c r="K16" s="1374"/>
      <c r="L16" s="1374"/>
      <c r="M16" s="1377"/>
      <c r="N16" s="1379"/>
      <c r="O16" s="1379"/>
      <c r="P16" s="351"/>
      <c r="Q16" s="1316"/>
      <c r="R16" s="1317"/>
      <c r="S16" s="1316"/>
      <c r="T16" s="1316"/>
      <c r="U16" s="1322"/>
      <c r="V16" s="1323" t="s">
        <v>417</v>
      </c>
      <c r="W16" s="1324"/>
      <c r="X16" s="1324"/>
      <c r="Y16" s="1324"/>
      <c r="Z16" s="1324"/>
      <c r="AA16" s="1324"/>
      <c r="AB16" s="1324"/>
      <c r="AC16" s="1324"/>
      <c r="AD16" s="1324"/>
      <c r="AE16" s="1324"/>
      <c r="AF16" s="1324"/>
      <c r="AG16" s="1324"/>
      <c r="AH16" s="1324"/>
      <c r="AI16" s="1324"/>
      <c r="AJ16" s="1324"/>
      <c r="AK16" s="1324"/>
      <c r="AL16" s="1324"/>
      <c r="AM16" s="1324"/>
      <c r="AN16" s="1324"/>
      <c r="AO16" s="1324"/>
      <c r="AP16" s="1324"/>
      <c r="AQ16" s="1324"/>
      <c r="AS16" s="789"/>
      <c r="AT16" s="789" t="str">
        <f>IF(V16="","",V16)</f>
        <v>Добавить централизованную систему для дифференциации</v>
      </c>
      <c r="AU16" s="789"/>
      <c r="AV16" s="789"/>
      <c r="AW16" s="518">
        <v>0</v>
      </c>
    </row>
    <row s="1642" customFormat="1" customHeight="1" ht="14.25" hidden="1">
      <c r="A17" s="1374"/>
      <c r="B17" s="1374"/>
      <c r="C17" s="1374"/>
      <c r="D17" s="1374"/>
      <c r="E17" s="2289"/>
      <c r="F17" s="1374"/>
      <c r="G17" s="1374"/>
      <c r="H17" s="1374"/>
      <c r="I17" s="1374"/>
      <c r="J17" s="1374"/>
      <c r="K17" s="1374"/>
      <c r="L17" s="1374"/>
      <c r="M17" s="1377"/>
      <c r="N17" s="1379"/>
      <c r="O17" s="1379"/>
      <c r="P17" s="351"/>
      <c r="Q17" s="1316"/>
      <c r="R17" s="1317"/>
      <c r="S17" s="1316"/>
      <c r="T17" s="1316"/>
      <c r="U17" s="1322"/>
      <c r="V17" s="1325" t="s">
        <v>418</v>
      </c>
      <c r="W17" s="1324"/>
      <c r="X17" s="1324"/>
      <c r="Y17" s="1324"/>
      <c r="Z17" s="1324"/>
      <c r="AA17" s="1324"/>
      <c r="AB17" s="1324"/>
      <c r="AC17" s="1324"/>
      <c r="AD17" s="1324"/>
      <c r="AE17" s="1324"/>
      <c r="AF17" s="1324"/>
      <c r="AG17" s="1324"/>
      <c r="AH17" s="1324"/>
      <c r="AI17" s="1324"/>
      <c r="AJ17" s="1324"/>
      <c r="AK17" s="1324"/>
      <c r="AL17" s="1324"/>
      <c r="AM17" s="1324"/>
      <c r="AN17" s="1324"/>
      <c r="AO17" s="1324"/>
      <c r="AP17" s="1324"/>
      <c r="AQ17" s="1324"/>
      <c r="AS17" s="789"/>
      <c r="AT17" s="789" t="str">
        <f>IF(V17="","",V17)</f>
        <v>Добавить территорию для дифференциации</v>
      </c>
      <c r="AU17" s="789"/>
      <c r="AV17" s="789"/>
      <c r="AW17" s="518">
        <v>0</v>
      </c>
    </row>
    <row customHeight="1" ht="14.25" hidden="1">
      <c r="AF18" s="327"/>
      <c r="AO18" s="327"/>
      <c r="AW18" s="1155">
        <v>0</v>
      </c>
    </row>
    <row customHeight="1" ht="14.25" hidden="1">
      <c r="AG19" s="1360"/>
      <c r="AH19" s="1360"/>
      <c r="AI19" s="1360"/>
      <c r="AJ19" s="1360"/>
      <c r="AK19" s="1361"/>
      <c r="AL19" s="2267"/>
      <c r="AM19" s="2268" t="s">
        <v>66</v>
      </c>
      <c r="AN19" s="2267"/>
      <c r="AO19" s="2268" t="s">
        <v>66</v>
      </c>
      <c r="AW19" s="1155">
        <v>0</v>
      </c>
    </row>
    <row customHeight="1" ht="14.25" hidden="1">
      <c r="AG20" s="1360"/>
      <c r="AH20" s="1360"/>
      <c r="AI20" s="1360"/>
      <c r="AJ20" s="1360"/>
      <c r="AK20" s="1361"/>
      <c r="AL20" s="2267"/>
      <c r="AM20" s="2268"/>
      <c r="AN20" s="2267"/>
      <c r="AO20" s="2268"/>
      <c r="AW20" s="1155">
        <v>0</v>
      </c>
    </row>
    <row customHeight="1" ht="14.25" hidden="1">
      <c r="AG21" s="1360"/>
      <c r="AH21" s="1360"/>
      <c r="AI21" s="1360"/>
      <c r="AJ21" s="1360"/>
      <c r="AK21" s="1361"/>
      <c r="AL21" s="2267"/>
      <c r="AM21" s="2268"/>
      <c r="AN21" s="2267"/>
      <c r="AO21" s="2268"/>
      <c r="AW21" s="1155">
        <v>0</v>
      </c>
    </row>
    <row customHeight="1" ht="14.25" hidden="1">
      <c r="AG22" s="1360"/>
      <c r="AH22" s="1360"/>
      <c r="AI22" s="1360"/>
      <c r="AJ22" s="1360"/>
      <c r="AK22" s="328" t="str">
        <f>AL19&amp;"-"&amp;AN19</f>
        <v>-</v>
      </c>
      <c r="AL22" s="2268"/>
      <c r="AM22" s="2268"/>
      <c r="AN22" s="2268"/>
      <c r="AO22" s="2268"/>
      <c r="AW22" s="1155">
        <v>0</v>
      </c>
    </row>
    <row customHeight="1" ht="14.25" hidden="1">
      <c r="AO23" s="327"/>
      <c r="AW23" s="1155">
        <v>0</v>
      </c>
    </row>
    <row s="1366" customFormat="1" customHeight="1" ht="22.5" hidden="1">
      <c r="A24" s="1155"/>
      <c r="B24" s="1155"/>
      <c r="C24" s="1155"/>
      <c r="D24" s="1155"/>
      <c r="E24" s="1155"/>
      <c r="F24" s="1155"/>
      <c r="G24" s="1155"/>
      <c r="H24" s="1155"/>
      <c r="I24" s="1155"/>
      <c r="J24" s="1155"/>
      <c r="K24" s="1155"/>
      <c r="L24" s="1155"/>
      <c r="M24" s="1327"/>
      <c r="N24" s="1328"/>
      <c r="O24" s="1328"/>
      <c r="P24" s="1345" t="s">
        <v>419</v>
      </c>
      <c r="Q24" s="1362"/>
      <c r="R24" s="1371"/>
      <c r="S24" s="1371"/>
      <c r="T24" s="1371"/>
      <c r="U24" s="729"/>
      <c r="AC24" s="1367"/>
      <c r="AE24" s="1367"/>
      <c r="AF24" s="1366"/>
      <c r="AL24" s="1367"/>
      <c r="AN24" s="1367"/>
      <c r="AO24" s="1366"/>
      <c r="AR24" s="511"/>
      <c r="AS24" s="511"/>
      <c r="AT24" s="511"/>
      <c r="AU24" s="511"/>
      <c r="AV24" s="511"/>
      <c r="AW24" s="1160">
        <v>0</v>
      </c>
    </row>
    <row s="1366" customFormat="1" customHeight="1" ht="14.25" hidden="1">
      <c r="A25" s="1155"/>
      <c r="B25" s="1155"/>
      <c r="C25" s="1155"/>
      <c r="D25" s="1155"/>
      <c r="E25" s="1155"/>
      <c r="F25" s="1155"/>
      <c r="G25" s="1155"/>
      <c r="H25" s="1155"/>
      <c r="I25" s="1155"/>
      <c r="J25" s="1155"/>
      <c r="K25" s="1155"/>
      <c r="L25" s="1155"/>
      <c r="M25" s="1327"/>
      <c r="N25" s="1328"/>
      <c r="O25" s="1328"/>
      <c r="P25" s="1328"/>
      <c r="Q25" s="1362"/>
      <c r="R25" s="1371"/>
      <c r="S25" s="1371"/>
      <c r="T25" s="1371"/>
      <c r="U25" s="729"/>
      <c r="AF25" s="1366"/>
      <c r="AO25" s="1366"/>
      <c r="AR25" s="511"/>
      <c r="AS25" s="511"/>
      <c r="AT25" s="511"/>
      <c r="AU25" s="511"/>
      <c r="AV25" s="511"/>
      <c r="AW25" s="1160">
        <v>0</v>
      </c>
    </row>
    <row s="1366" customFormat="1" customHeight="1" ht="14.25" hidden="1">
      <c r="A26" s="1155"/>
      <c r="B26" s="1155"/>
      <c r="C26" s="1155"/>
      <c r="D26" s="1155"/>
      <c r="E26" s="1155"/>
      <c r="F26" s="1155"/>
      <c r="G26" s="1155"/>
      <c r="H26" s="1155"/>
      <c r="I26" s="1155"/>
      <c r="J26" s="1155"/>
      <c r="K26" s="1155"/>
      <c r="L26" s="1155"/>
      <c r="M26" s="1327"/>
      <c r="N26" s="1328"/>
      <c r="O26" s="1328"/>
      <c r="P26" s="1310" t="s">
        <v>420</v>
      </c>
      <c r="Q26" s="1362"/>
      <c r="R26" s="1371"/>
      <c r="S26" s="1371"/>
      <c r="T26" s="1371"/>
      <c r="U26" s="729"/>
      <c r="V26" s="1160" t="s">
        <v>421</v>
      </c>
      <c r="AD26" s="186" t="s">
        <v>422</v>
      </c>
      <c r="AF26" s="186" t="s">
        <v>423</v>
      </c>
      <c r="AG26" s="1160" t="s">
        <v>421</v>
      </c>
      <c r="AM26" s="186" t="s">
        <v>424</v>
      </c>
      <c r="AO26" s="186" t="s">
        <v>423</v>
      </c>
      <c r="AR26" s="511"/>
      <c r="AS26" s="511"/>
      <c r="AT26" s="511"/>
      <c r="AU26" s="511"/>
      <c r="AV26" s="511"/>
      <c r="AW26" s="1160">
        <v>0</v>
      </c>
    </row>
    <row customHeight="1" ht="14.25" hidden="1">
      <c r="P27" s="1310"/>
      <c r="AW27" s="1155">
        <v>0</v>
      </c>
    </row>
    <row customHeight="1" ht="14.25" hidden="1">
      <c r="P28" s="1310"/>
      <c r="AW28" s="1155">
        <v>0</v>
      </c>
    </row>
    <row customHeight="1" ht="14.699999999999998">
      <c r="R29" s="376"/>
      <c r="S29" s="376"/>
      <c r="T29" s="376"/>
      <c r="U29" s="1275"/>
      <c r="V29" s="363"/>
      <c r="W29" s="363"/>
      <c r="X29" s="509"/>
      <c r="Y29" s="509"/>
      <c r="Z29" s="509"/>
      <c r="AA29" s="509"/>
      <c r="AB29" s="509"/>
      <c r="AC29" s="509"/>
      <c r="AD29" s="509"/>
      <c r="AE29" s="509"/>
      <c r="AF29" s="509"/>
      <c r="AG29" s="509"/>
      <c r="AH29" s="509"/>
      <c r="AI29" s="509"/>
      <c r="AJ29" s="509"/>
      <c r="AK29" s="509"/>
      <c r="AL29" s="509"/>
      <c r="AM29" s="509"/>
      <c r="AN29" s="509"/>
      <c r="AO29" s="509"/>
      <c r="AW29" s="1155">
        <v>14</v>
      </c>
    </row>
    <row customHeight="1" ht="56.699999999999996">
      <c r="R30" s="376"/>
      <c r="S30" s="376"/>
      <c r="T30" s="376"/>
      <c r="U30" s="2248" t="str">
        <f>IF(TEMPLATE_GROUP="P",PT_P_FORM_HEAT_6_NAME_FORM,PT_R_FORM_HEAT_23_NAME_FORM)</f>
        <v>Форма 21. Информация о предложении регулируемой организации о расчетной величине тарифов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 о расчетной величине тарифов на горячую воду, поставляемую единой теплоснабжающей организацией в ценовых зонах теплоснабжения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v>
      </c>
      <c r="V30" s="2248"/>
      <c r="W30" s="2248"/>
      <c r="X30" s="2248"/>
      <c r="Y30" s="2248"/>
      <c r="Z30" s="2248"/>
      <c r="AA30" s="2248"/>
      <c r="AB30" s="2248"/>
      <c r="AC30" s="2248"/>
      <c r="AD30" s="2248"/>
      <c r="AE30" s="2248"/>
      <c r="AF30" s="2248"/>
      <c r="AG30" s="2248"/>
      <c r="AH30" s="2248"/>
      <c r="AI30" s="2248"/>
      <c r="AJ30" s="2248"/>
      <c r="AK30" s="2248"/>
      <c r="AL30" s="2248"/>
      <c r="AM30" s="2248"/>
      <c r="AN30" s="2248"/>
      <c r="AO30" s="1243"/>
      <c r="AW30" s="1155">
        <v>54</v>
      </c>
    </row>
    <row customHeight="1" ht="14.699999999999998">
      <c r="R31" s="376"/>
      <c r="S31" s="376"/>
      <c r="T31" s="376"/>
      <c r="U31" s="2249" t="str">
        <f>IF(org=0,"Не определено",org)</f>
        <v>ПАО "ОГК-2"</v>
      </c>
      <c r="V31" s="2249"/>
      <c r="W31" s="2249"/>
      <c r="X31" s="2249"/>
      <c r="Y31" s="2249"/>
      <c r="Z31" s="2249"/>
      <c r="AA31" s="2249"/>
      <c r="AB31" s="2249"/>
      <c r="AC31" s="2249"/>
      <c r="AD31" s="2249"/>
      <c r="AE31" s="2249"/>
      <c r="AF31" s="2249"/>
      <c r="AG31" s="2249"/>
      <c r="AH31" s="2249"/>
      <c r="AI31" s="2249"/>
      <c r="AJ31" s="2249"/>
      <c r="AK31" s="2249"/>
      <c r="AL31" s="2249"/>
      <c r="AM31" s="2249"/>
      <c r="AN31" s="2249"/>
      <c r="AO31" s="1243"/>
      <c r="AW31" s="1155">
        <v>14</v>
      </c>
    </row>
    <row customHeight="1" ht="14.25" hidden="1">
      <c r="R32" s="376"/>
      <c r="S32" s="376"/>
      <c r="T32" s="376"/>
      <c r="U32" s="1275"/>
      <c r="V32" s="363"/>
      <c r="W32" s="363"/>
      <c r="X32" s="322"/>
      <c r="Y32" s="322"/>
      <c r="Z32" s="322"/>
      <c r="AA32" s="322"/>
      <c r="AB32" s="322"/>
      <c r="AC32" s="322"/>
      <c r="AD32" s="322"/>
      <c r="AE32" s="322"/>
      <c r="AF32" s="322"/>
      <c r="AG32" s="322"/>
      <c r="AH32" s="322"/>
      <c r="AI32" s="322"/>
      <c r="AJ32" s="322"/>
      <c r="AK32" s="322"/>
      <c r="AL32" s="322"/>
      <c r="AM32" s="322"/>
      <c r="AN32" s="322"/>
      <c r="AO32" s="322"/>
      <c r="AP32" s="509"/>
      <c r="AW32" s="1155">
        <v>0</v>
      </c>
    </row>
    <row s="1853" customFormat="1" customHeight="1" ht="25.5" hidden="1">
      <c r="A33" s="1248"/>
      <c r="B33" s="1248"/>
      <c r="C33" s="1248"/>
      <c r="D33" s="1248"/>
      <c r="E33" s="1248"/>
      <c r="F33" s="1248"/>
      <c r="G33" s="1248"/>
      <c r="H33" s="1248"/>
      <c r="I33" s="1248"/>
      <c r="J33" s="1248"/>
      <c r="K33" s="1248"/>
      <c r="L33" s="1248"/>
      <c r="M33" s="1380"/>
      <c r="N33" s="1248"/>
      <c r="O33" s="1248"/>
      <c r="P33" s="1248"/>
      <c r="U33" s="2250" t="s">
        <v>42</v>
      </c>
      <c r="V33" s="2250"/>
      <c r="W33" s="1372"/>
      <c r="X33" s="2251" t="str">
        <f>IF(TITLE_NAME_OR_PR_CHANGE="",IF(TITLE_NAME_OR_PR="","",TITLE_NAME_OR_PR),TITLE_NAME_OR_PR_CHANGE)</f>
        <v/>
      </c>
      <c r="Y33" s="2251"/>
      <c r="Z33" s="2251"/>
      <c r="AA33" s="2251"/>
      <c r="AB33" s="2251"/>
      <c r="AC33" s="2251"/>
      <c r="AD33" s="2251"/>
      <c r="AE33" s="2251"/>
      <c r="AF33" s="326"/>
      <c r="AG33" s="2251" t="str">
        <f>IF(TITLE_NAME_OR_PR_CHANGE="",IF(TITLE_NAME_OR_PR="","",TITLE_NAME_OR_PR),TITLE_NAME_OR_PR_CHANGE)</f>
        <v/>
      </c>
      <c r="AH33" s="2251"/>
      <c r="AI33" s="2251"/>
      <c r="AJ33" s="2251"/>
      <c r="AK33" s="2251"/>
      <c r="AL33" s="2251"/>
      <c r="AM33" s="2251"/>
      <c r="AN33" s="2251"/>
      <c r="AO33" s="326"/>
      <c r="AP33" s="326"/>
      <c r="AQ33" s="280"/>
      <c r="AR33" s="368"/>
      <c r="AS33" s="368"/>
      <c r="AT33" s="368"/>
      <c r="AU33" s="368"/>
      <c r="AV33" s="368"/>
      <c r="AW33" s="418">
        <v>0</v>
      </c>
    </row>
    <row s="1853" customFormat="1" customHeight="1" ht="18.75" hidden="1">
      <c r="A34" s="1248"/>
      <c r="B34" s="1248"/>
      <c r="C34" s="1248"/>
      <c r="D34" s="1248"/>
      <c r="E34" s="1248"/>
      <c r="F34" s="1248"/>
      <c r="G34" s="1248"/>
      <c r="H34" s="1248"/>
      <c r="I34" s="1248"/>
      <c r="J34" s="1248"/>
      <c r="K34" s="1248"/>
      <c r="L34" s="1248"/>
      <c r="M34" s="1380"/>
      <c r="N34" s="1248"/>
      <c r="O34" s="1248"/>
      <c r="P34" s="1248"/>
      <c r="U34" s="2250" t="s">
        <v>425</v>
      </c>
      <c r="V34" s="2250"/>
      <c r="W34" s="1372"/>
      <c r="X34" s="2264" t="str">
        <f>IF(TITLE_DATE_PR_CHANGE="",IF(TITLE_DATE_PR="","",TITLE_DATE_PR),TITLE_DATE_PR_CHANGE)</f>
        <v/>
      </c>
      <c r="Y34" s="2264"/>
      <c r="Z34" s="2264"/>
      <c r="AA34" s="2264"/>
      <c r="AB34" s="2264"/>
      <c r="AC34" s="2264"/>
      <c r="AD34" s="2264"/>
      <c r="AE34" s="2264"/>
      <c r="AF34" s="326"/>
      <c r="AG34" s="2264" t="str">
        <f>IF(TITLE_DATE_PR_CHANGE="",IF(TITLE_DATE_PR="","",TITLE_DATE_PR),TITLE_DATE_PR_CHANGE)</f>
        <v/>
      </c>
      <c r="AH34" s="2264"/>
      <c r="AI34" s="2264"/>
      <c r="AJ34" s="2264"/>
      <c r="AK34" s="2264"/>
      <c r="AL34" s="2264"/>
      <c r="AM34" s="2264"/>
      <c r="AN34" s="2264"/>
      <c r="AO34" s="326"/>
      <c r="AP34" s="326"/>
      <c r="AQ34" s="280"/>
      <c r="AR34" s="368"/>
      <c r="AS34" s="368"/>
      <c r="AT34" s="368"/>
      <c r="AU34" s="368"/>
      <c r="AV34" s="368"/>
      <c r="AW34" s="418">
        <v>0</v>
      </c>
    </row>
    <row s="1853" customFormat="1" customHeight="1" ht="18.75" hidden="1">
      <c r="A35" s="1248"/>
      <c r="B35" s="1248"/>
      <c r="C35" s="1248"/>
      <c r="D35" s="1248"/>
      <c r="E35" s="1248"/>
      <c r="F35" s="1248"/>
      <c r="G35" s="1248"/>
      <c r="H35" s="1248"/>
      <c r="I35" s="1248"/>
      <c r="J35" s="1248"/>
      <c r="K35" s="1248"/>
      <c r="L35" s="1248"/>
      <c r="M35" s="1380"/>
      <c r="N35" s="1248"/>
      <c r="O35" s="1248"/>
      <c r="P35" s="1248"/>
      <c r="U35" s="2250" t="s">
        <v>426</v>
      </c>
      <c r="V35" s="2250"/>
      <c r="W35" s="1372"/>
      <c r="X35" s="2251" t="str">
        <f>IF(TITLE_NUMBER_PR_CHANGE="",IF(TITLE_NUMBER_PR="","",TITLE_NUMBER_PR),TITLE_NUMBER_PR_CHANGE)</f>
        <v/>
      </c>
      <c r="Y35" s="2251"/>
      <c r="Z35" s="2251"/>
      <c r="AA35" s="2251"/>
      <c r="AB35" s="2251"/>
      <c r="AC35" s="2251"/>
      <c r="AD35" s="2251"/>
      <c r="AE35" s="2251"/>
      <c r="AF35" s="326"/>
      <c r="AG35" s="2251" t="str">
        <f>IF(TITLE_NUMBER_PR_CHANGE="",IF(TITLE_NUMBER_PR="","",TITLE_NUMBER_PR),TITLE_NUMBER_PR_CHANGE)</f>
        <v/>
      </c>
      <c r="AH35" s="2251"/>
      <c r="AI35" s="2251"/>
      <c r="AJ35" s="2251"/>
      <c r="AK35" s="2251"/>
      <c r="AL35" s="2251"/>
      <c r="AM35" s="2251"/>
      <c r="AN35" s="2251"/>
      <c r="AO35" s="326"/>
      <c r="AP35" s="326"/>
      <c r="AQ35" s="280"/>
      <c r="AR35" s="368"/>
      <c r="AS35" s="368"/>
      <c r="AT35" s="368"/>
      <c r="AU35" s="368"/>
      <c r="AV35" s="368"/>
      <c r="AW35" s="418">
        <v>0</v>
      </c>
    </row>
    <row s="1853" customFormat="1" customHeight="1" ht="18.75" hidden="1">
      <c r="A36" s="1248"/>
      <c r="B36" s="1248"/>
      <c r="C36" s="1248"/>
      <c r="D36" s="1248"/>
      <c r="E36" s="1248"/>
      <c r="F36" s="1248"/>
      <c r="G36" s="1248"/>
      <c r="H36" s="1248"/>
      <c r="I36" s="1248"/>
      <c r="J36" s="1248"/>
      <c r="K36" s="1248"/>
      <c r="L36" s="1248"/>
      <c r="M36" s="1380"/>
      <c r="N36" s="1248"/>
      <c r="O36" s="1248"/>
      <c r="P36" s="1248"/>
      <c r="U36" s="2250" t="s">
        <v>43</v>
      </c>
      <c r="V36" s="2250"/>
      <c r="W36" s="1372"/>
      <c r="X36" s="2251" t="str">
        <f>IF(TITLE_IST_PUB_CHANGE="",IF(TITLE_IST_PUB="","",TITLE_IST_PUB),TITLE_IST_PUB_CHANGE)</f>
        <v/>
      </c>
      <c r="Y36" s="2251"/>
      <c r="Z36" s="2251"/>
      <c r="AA36" s="2251"/>
      <c r="AB36" s="2251"/>
      <c r="AC36" s="2251"/>
      <c r="AD36" s="2251"/>
      <c r="AE36" s="2251"/>
      <c r="AF36" s="326"/>
      <c r="AG36" s="2251" t="str">
        <f>IF(TITLE_IST_PUB_CHANGE="",IF(TITLE_IST_PUB="","",TITLE_IST_PUB),TITLE_IST_PUB_CHANGE)</f>
        <v/>
      </c>
      <c r="AH36" s="2251"/>
      <c r="AI36" s="2251"/>
      <c r="AJ36" s="2251"/>
      <c r="AK36" s="2251"/>
      <c r="AL36" s="2251"/>
      <c r="AM36" s="2251"/>
      <c r="AN36" s="2251"/>
      <c r="AO36" s="326"/>
      <c r="AP36" s="326"/>
      <c r="AQ36" s="280"/>
      <c r="AR36" s="368"/>
      <c r="AS36" s="368"/>
      <c r="AT36" s="368"/>
      <c r="AU36" s="368"/>
      <c r="AV36" s="368"/>
      <c r="AW36" s="418">
        <v>0</v>
      </c>
    </row>
    <row customHeight="1" ht="14.25" hidden="1">
      <c r="R37" s="376"/>
      <c r="S37" s="376"/>
      <c r="T37" s="376"/>
      <c r="U37" s="1275"/>
      <c r="V37" s="363"/>
      <c r="W37" s="363"/>
      <c r="X37" s="322"/>
      <c r="Y37" s="322"/>
      <c r="Z37" s="322"/>
      <c r="AA37" s="322"/>
      <c r="AB37" s="322"/>
      <c r="AC37" s="322"/>
      <c r="AD37" s="322"/>
      <c r="AE37" s="322"/>
      <c r="AF37" s="322"/>
      <c r="AG37" s="322"/>
      <c r="AH37" s="322"/>
      <c r="AI37" s="322"/>
      <c r="AJ37" s="322"/>
      <c r="AK37" s="322"/>
      <c r="AL37" s="322"/>
      <c r="AM37" s="322"/>
      <c r="AN37" s="322"/>
      <c r="AO37" s="322"/>
      <c r="AP37" s="509"/>
      <c r="AW37" s="1155">
        <v>0</v>
      </c>
    </row>
    <row s="1853" customFormat="1" customHeight="1" ht="18.75" hidden="1">
      <c r="A38" s="1248"/>
      <c r="B38" s="1248"/>
      <c r="C38" s="1248"/>
      <c r="D38" s="1248"/>
      <c r="E38" s="1248"/>
      <c r="F38" s="1248"/>
      <c r="G38" s="1248"/>
      <c r="H38" s="1248"/>
      <c r="I38" s="1248"/>
      <c r="J38" s="1248"/>
      <c r="K38" s="1248"/>
      <c r="L38" s="1248"/>
      <c r="M38" s="1380"/>
      <c r="N38" s="1248"/>
      <c r="O38" s="1248"/>
      <c r="P38" s="1248"/>
      <c r="U38" s="2250" t="s">
        <v>427</v>
      </c>
      <c r="V38" s="2250"/>
      <c r="W38" s="1372"/>
      <c r="X38" s="2264" t="str">
        <f>IF(TITLE_DATE_PR_CHANGE="",IF(TITLE_DATE_PR="","",TITLE_DATE_PR),TITLE_DATE_PR_CHANGE)</f>
        <v/>
      </c>
      <c r="Y38" s="2264"/>
      <c r="Z38" s="2264"/>
      <c r="AA38" s="2264"/>
      <c r="AB38" s="2264"/>
      <c r="AC38" s="2264"/>
      <c r="AD38" s="2264"/>
      <c r="AE38" s="2264"/>
      <c r="AF38" s="326"/>
      <c r="AG38" s="2264" t="str">
        <f>IF(TITLE_DATE_PR_CHANGE="",IF(TITLE_DATE_PR="","",TITLE_DATE_PR),TITLE_DATE_PR_CHANGE)</f>
        <v/>
      </c>
      <c r="AH38" s="2264"/>
      <c r="AI38" s="2264"/>
      <c r="AJ38" s="2264"/>
      <c r="AK38" s="2264"/>
      <c r="AL38" s="2264"/>
      <c r="AM38" s="2264"/>
      <c r="AN38" s="2264"/>
      <c r="AO38" s="326"/>
      <c r="AP38" s="326"/>
      <c r="AQ38" s="280"/>
      <c r="AR38" s="368"/>
      <c r="AS38" s="368"/>
      <c r="AT38" s="368"/>
      <c r="AU38" s="368"/>
      <c r="AV38" s="368"/>
      <c r="AW38" s="418">
        <v>0</v>
      </c>
    </row>
    <row s="1853" customFormat="1" customHeight="1" ht="18.75" hidden="1">
      <c r="A39" s="1248"/>
      <c r="B39" s="1248"/>
      <c r="C39" s="1248"/>
      <c r="D39" s="1248"/>
      <c r="E39" s="1248"/>
      <c r="F39" s="1248"/>
      <c r="G39" s="1248"/>
      <c r="H39" s="1248"/>
      <c r="I39" s="1248"/>
      <c r="J39" s="1248"/>
      <c r="K39" s="1248"/>
      <c r="L39" s="1248"/>
      <c r="M39" s="1380"/>
      <c r="N39" s="1248"/>
      <c r="O39" s="1248"/>
      <c r="P39" s="1248"/>
      <c r="U39" s="2250" t="s">
        <v>428</v>
      </c>
      <c r="V39" s="2250"/>
      <c r="W39" s="1372"/>
      <c r="X39" s="2251" t="str">
        <f>IF(TITLE_NUMBER_PR_CHANGE="",IF(TITLE_NUMBER_PR="","",TITLE_NUMBER_PR),TITLE_NUMBER_PR_CHANGE)</f>
        <v/>
      </c>
      <c r="Y39" s="2251"/>
      <c r="Z39" s="2251"/>
      <c r="AA39" s="2251"/>
      <c r="AB39" s="2251"/>
      <c r="AC39" s="2251"/>
      <c r="AD39" s="2251"/>
      <c r="AE39" s="2251"/>
      <c r="AF39" s="326"/>
      <c r="AG39" s="2251" t="str">
        <f>IF(TITLE_NUMBER_PR_CHANGE="",IF(TITLE_NUMBER_PR="","",TITLE_NUMBER_PR),TITLE_NUMBER_PR_CHANGE)</f>
        <v/>
      </c>
      <c r="AH39" s="2251"/>
      <c r="AI39" s="2251"/>
      <c r="AJ39" s="2251"/>
      <c r="AK39" s="2251"/>
      <c r="AL39" s="2251"/>
      <c r="AM39" s="2251"/>
      <c r="AN39" s="2251"/>
      <c r="AO39" s="326"/>
      <c r="AP39" s="326"/>
      <c r="AQ39" s="280"/>
      <c r="AR39" s="368"/>
      <c r="AS39" s="368"/>
      <c r="AT39" s="368"/>
      <c r="AU39" s="368"/>
      <c r="AV39" s="368"/>
      <c r="AW39" s="418">
        <v>0</v>
      </c>
    </row>
    <row s="1853" customFormat="1" customHeight="1" ht="0">
      <c r="A40" s="1248"/>
      <c r="B40" s="1248"/>
      <c r="C40" s="1248"/>
      <c r="D40" s="1248"/>
      <c r="E40" s="1248"/>
      <c r="F40" s="1248"/>
      <c r="G40" s="1248"/>
      <c r="H40" s="1248"/>
      <c r="I40" s="1248"/>
      <c r="J40" s="1248"/>
      <c r="K40" s="1248"/>
      <c r="L40" s="1248"/>
      <c r="M40" s="1380"/>
      <c r="N40" s="1248"/>
      <c r="O40" s="1248"/>
      <c r="P40" s="1248"/>
      <c r="U40" s="323"/>
      <c r="V40" s="323"/>
      <c r="W40" s="1340"/>
      <c r="X40" s="326"/>
      <c r="Y40" s="326"/>
      <c r="Z40" s="326"/>
      <c r="AA40" s="326"/>
      <c r="AB40" s="326"/>
      <c r="AC40" s="326"/>
      <c r="AD40" s="326"/>
      <c r="AE40" s="326"/>
      <c r="AF40" s="278" t="s">
        <v>429</v>
      </c>
      <c r="AG40" s="326"/>
      <c r="AH40" s="326"/>
      <c r="AI40" s="326"/>
      <c r="AJ40" s="326"/>
      <c r="AK40" s="326"/>
      <c r="AL40" s="326"/>
      <c r="AM40" s="326"/>
      <c r="AN40" s="326"/>
      <c r="AO40" s="278" t="s">
        <v>429</v>
      </c>
      <c r="AR40" s="368"/>
      <c r="AS40" s="368"/>
      <c r="AT40" s="368"/>
      <c r="AU40" s="368"/>
      <c r="AV40" s="368"/>
      <c r="AW40" s="418">
        <v>0</v>
      </c>
    </row>
    <row customHeight="1" ht="14.699999999999998">
      <c r="R41" s="376"/>
      <c r="S41" s="376"/>
      <c r="T41" s="376"/>
      <c r="U41" s="1275"/>
      <c r="V41" s="363"/>
      <c r="W41" s="1244"/>
      <c r="X41" s="2252"/>
      <c r="Y41" s="2252"/>
      <c r="Z41" s="2252"/>
      <c r="AA41" s="2252"/>
      <c r="AB41" s="2252"/>
      <c r="AC41" s="2252"/>
      <c r="AD41" s="2252"/>
      <c r="AE41" s="2252"/>
      <c r="AF41" s="2252"/>
      <c r="AG41" s="2252"/>
      <c r="AH41" s="2252"/>
      <c r="AI41" s="2252"/>
      <c r="AJ41" s="2252"/>
      <c r="AK41" s="2252"/>
      <c r="AL41" s="2252"/>
      <c r="AM41" s="2252"/>
      <c r="AN41" s="2252"/>
      <c r="AO41" s="2252"/>
      <c r="AW41" s="1155">
        <v>14</v>
      </c>
    </row>
    <row customHeight="1" ht="14.699999999999998">
      <c r="R42" s="376"/>
      <c r="S42" s="376"/>
      <c r="T42" s="376"/>
      <c r="U42" s="2127" t="s">
        <v>302</v>
      </c>
      <c r="V42" s="2127"/>
      <c r="W42" s="2127"/>
      <c r="X42" s="2127"/>
      <c r="Y42" s="2127"/>
      <c r="Z42" s="2127"/>
      <c r="AA42" s="2127"/>
      <c r="AB42" s="2127"/>
      <c r="AC42" s="2127"/>
      <c r="AD42" s="2127"/>
      <c r="AE42" s="2127"/>
      <c r="AF42" s="2127"/>
      <c r="AG42" s="2127"/>
      <c r="AH42" s="2127"/>
      <c r="AI42" s="2127"/>
      <c r="AJ42" s="2127"/>
      <c r="AK42" s="2127"/>
      <c r="AL42" s="2127"/>
      <c r="AM42" s="2127"/>
      <c r="AN42" s="2127"/>
      <c r="AO42" s="2127"/>
      <c r="AP42" s="2127"/>
      <c r="AQ42" s="2127" t="s">
        <v>303</v>
      </c>
      <c r="AW42" s="1155">
        <v>14</v>
      </c>
    </row>
    <row customHeight="1" ht="14.699999999999998">
      <c r="R43" s="376"/>
      <c r="S43" s="376"/>
      <c r="T43" s="376"/>
      <c r="U43" s="2273" t="s">
        <v>88</v>
      </c>
      <c r="V43" s="2209" t="s">
        <v>430</v>
      </c>
      <c r="W43" s="301"/>
      <c r="X43" s="2274" t="s">
        <v>431</v>
      </c>
      <c r="Y43" s="2291"/>
      <c r="Z43" s="2291"/>
      <c r="AA43" s="2291"/>
      <c r="AB43" s="2291"/>
      <c r="AC43" s="2275"/>
      <c r="AD43" s="2275"/>
      <c r="AE43" s="2276"/>
      <c r="AF43" s="2277" t="s">
        <v>432</v>
      </c>
      <c r="AG43" s="2274" t="s">
        <v>431</v>
      </c>
      <c r="AH43" s="2291"/>
      <c r="AI43" s="2291"/>
      <c r="AJ43" s="2291"/>
      <c r="AK43" s="2291"/>
      <c r="AL43" s="2275"/>
      <c r="AM43" s="2275"/>
      <c r="AN43" s="2276"/>
      <c r="AO43" s="2277" t="s">
        <v>433</v>
      </c>
      <c r="AP43" s="2280" t="s">
        <v>434</v>
      </c>
      <c r="AQ43" s="2127"/>
      <c r="AW43" s="1155">
        <v>14</v>
      </c>
    </row>
    <row customHeight="1" ht="35.699999999999996">
      <c r="R44" s="376"/>
      <c r="S44" s="376"/>
      <c r="T44" s="376"/>
      <c r="U44" s="2273"/>
      <c r="V44" s="2209"/>
      <c r="W44" s="1031"/>
      <c r="X44" s="2294" t="s">
        <v>457</v>
      </c>
      <c r="Y44" s="2312" t="s">
        <v>458</v>
      </c>
      <c r="Z44" s="2312"/>
      <c r="AA44" s="2312"/>
      <c r="AB44" s="2312"/>
      <c r="AC44" s="2294" t="s">
        <v>438</v>
      </c>
      <c r="AD44" s="2611"/>
      <c r="AE44" s="2314"/>
      <c r="AF44" s="2278"/>
      <c r="AG44" s="2294" t="s">
        <v>457</v>
      </c>
      <c r="AH44" s="2312" t="s">
        <v>458</v>
      </c>
      <c r="AI44" s="2312"/>
      <c r="AJ44" s="2312"/>
      <c r="AK44" s="2312"/>
      <c r="AL44" s="2294" t="s">
        <v>438</v>
      </c>
      <c r="AM44" s="2611"/>
      <c r="AN44" s="2314"/>
      <c r="AO44" s="2278"/>
      <c r="AP44" s="2281"/>
      <c r="AQ44" s="2127"/>
      <c r="AW44" s="1155">
        <v>34</v>
      </c>
    </row>
    <row customHeight="1" ht="14.699999999999998">
      <c r="R45" s="376"/>
      <c r="S45" s="376"/>
      <c r="T45" s="376"/>
      <c r="U45" s="2273"/>
      <c r="V45" s="2209"/>
      <c r="W45" s="1031"/>
      <c r="X45" s="2325"/>
      <c r="Y45" s="2317" t="s">
        <v>459</v>
      </c>
      <c r="Z45" s="2270" t="s">
        <v>460</v>
      </c>
      <c r="AA45" s="2320"/>
      <c r="AB45" s="2271"/>
      <c r="AC45" s="2295"/>
      <c r="AD45" s="2612"/>
      <c r="AE45" s="2316"/>
      <c r="AF45" s="2278"/>
      <c r="AG45" s="2325"/>
      <c r="AH45" s="2317" t="s">
        <v>459</v>
      </c>
      <c r="AI45" s="2270" t="s">
        <v>460</v>
      </c>
      <c r="AJ45" s="2320"/>
      <c r="AK45" s="2271"/>
      <c r="AL45" s="2295"/>
      <c r="AM45" s="2612"/>
      <c r="AN45" s="2316"/>
      <c r="AO45" s="2278"/>
      <c r="AP45" s="2281"/>
      <c r="AQ45" s="2127"/>
      <c r="AW45" s="1155">
        <v>14</v>
      </c>
    </row>
    <row customHeight="1" ht="27.299999999999997">
      <c r="R46" s="376"/>
      <c r="S46" s="376"/>
      <c r="T46" s="376"/>
      <c r="U46" s="2273"/>
      <c r="V46" s="2209"/>
      <c r="W46" s="1031"/>
      <c r="X46" s="2325"/>
      <c r="Y46" s="2318"/>
      <c r="Z46" s="2317" t="s">
        <v>461</v>
      </c>
      <c r="AA46" s="2270" t="s">
        <v>462</v>
      </c>
      <c r="AB46" s="2271"/>
      <c r="AC46" s="2317" t="s">
        <v>448</v>
      </c>
      <c r="AD46" s="2321" t="s">
        <v>449</v>
      </c>
      <c r="AE46" s="2322"/>
      <c r="AF46" s="2278"/>
      <c r="AG46" s="2325"/>
      <c r="AH46" s="2318"/>
      <c r="AI46" s="2317" t="s">
        <v>461</v>
      </c>
      <c r="AJ46" s="2270" t="s">
        <v>462</v>
      </c>
      <c r="AK46" s="2271"/>
      <c r="AL46" s="2317" t="s">
        <v>448</v>
      </c>
      <c r="AM46" s="2321" t="s">
        <v>449</v>
      </c>
      <c r="AN46" s="2322"/>
      <c r="AO46" s="2278"/>
      <c r="AP46" s="2281"/>
      <c r="AQ46" s="2127"/>
      <c r="AW46" s="1155">
        <v>26</v>
      </c>
    </row>
    <row customHeight="1" ht="65.25">
      <c r="A47" s="1259"/>
      <c r="B47" s="1259" t="s">
        <v>139</v>
      </c>
      <c r="C47" s="1259" t="s">
        <v>140</v>
      </c>
      <c r="D47" s="1259" t="s">
        <v>141</v>
      </c>
      <c r="E47" s="1310" t="s">
        <v>439</v>
      </c>
      <c r="F47" s="1310" t="s">
        <v>440</v>
      </c>
      <c r="G47" s="1310" t="s">
        <v>441</v>
      </c>
      <c r="H47" s="1310" t="s">
        <v>442</v>
      </c>
      <c r="I47" s="1310" t="s">
        <v>443</v>
      </c>
      <c r="J47" s="1310" t="s">
        <v>444</v>
      </c>
      <c r="K47" s="1310" t="s">
        <v>445</v>
      </c>
      <c r="L47" s="1310" t="s">
        <v>463</v>
      </c>
      <c r="M47" s="1310" t="s">
        <v>420</v>
      </c>
      <c r="R47" s="376"/>
      <c r="S47" s="376"/>
      <c r="T47" s="376"/>
      <c r="U47" s="2273"/>
      <c r="V47" s="2209"/>
      <c r="W47" s="302"/>
      <c r="X47" s="2295"/>
      <c r="Y47" s="2319"/>
      <c r="Z47" s="2319"/>
      <c r="AA47" s="1222" t="s">
        <v>464</v>
      </c>
      <c r="AB47" s="1222" t="s">
        <v>465</v>
      </c>
      <c r="AC47" s="2319"/>
      <c r="AD47" s="2323"/>
      <c r="AE47" s="2324"/>
      <c r="AF47" s="2279"/>
      <c r="AG47" s="2295"/>
      <c r="AH47" s="2319"/>
      <c r="AI47" s="2319"/>
      <c r="AJ47" s="1222" t="s">
        <v>464</v>
      </c>
      <c r="AK47" s="1222" t="s">
        <v>465</v>
      </c>
      <c r="AL47" s="2319"/>
      <c r="AM47" s="2323"/>
      <c r="AN47" s="2324"/>
      <c r="AO47" s="2279"/>
      <c r="AP47" s="2282"/>
      <c r="AQ47" s="2127"/>
      <c r="AW47" s="1155">
        <v>62</v>
      </c>
    </row>
    <row s="1641" customFormat="1" customHeight="1" ht="11.25" hidden="1">
      <c r="A48" s="1259"/>
      <c r="B48" s="1259"/>
      <c r="C48" s="1259"/>
      <c r="D48" s="1259"/>
      <c r="E48" s="1259"/>
      <c r="F48" s="1259"/>
      <c r="G48" s="1259"/>
      <c r="H48" s="1259"/>
      <c r="I48" s="1259"/>
      <c r="J48" s="1259"/>
      <c r="K48" s="1259"/>
      <c r="L48" s="1259"/>
      <c r="M48" s="1310"/>
      <c r="N48" s="1328"/>
      <c r="O48" s="1328"/>
      <c r="P48" s="1328"/>
      <c r="Q48" s="1246"/>
      <c r="R48" s="1247"/>
      <c r="S48" s="1254">
        <v>1</v>
      </c>
      <c r="T48" s="1254"/>
      <c r="U48" s="1277" t="s">
        <v>109</v>
      </c>
      <c r="V48" s="1255" t="s">
        <v>110</v>
      </c>
      <c r="W48" s="1245" t="str">
        <f>OFFSET(W48,0,-1)</f>
        <v>2</v>
      </c>
      <c r="X48" s="1335">
        <f>OFFSET(X48,0,-1)+1</f>
        <v>3</v>
      </c>
      <c r="Y48" s="1341"/>
      <c r="Z48" s="1341"/>
      <c r="AA48" s="1341">
        <f>OFFSET(AA48,0,-1)+1</f>
        <v>1</v>
      </c>
      <c r="AB48" s="1341">
        <f>OFFSET(AB48,0,-1)+1</f>
        <v>2</v>
      </c>
      <c r="AC48" s="1335">
        <f>OFFSET(AC48,0,-1)+1</f>
        <v>3</v>
      </c>
      <c r="AD48" s="2272">
        <f>OFFSET(AD48,0,-1)+1</f>
        <v>4</v>
      </c>
      <c r="AE48" s="2272"/>
      <c r="AF48" s="1335">
        <f>OFFSET(AF48,0,-2)+1</f>
        <v>5</v>
      </c>
      <c r="AG48" s="1335">
        <f>OFFSET(AG48,0,-1)+1</f>
        <v>6</v>
      </c>
      <c r="AH48" s="1335"/>
      <c r="AI48" s="1335"/>
      <c r="AJ48" s="1335">
        <f>OFFSET(AJ48,0,-1)+1</f>
        <v>1</v>
      </c>
      <c r="AK48" s="1335">
        <f>OFFSET(AK48,0,-1)+1</f>
        <v>2</v>
      </c>
      <c r="AL48" s="1335">
        <f>OFFSET(AL48,0,-1)+1</f>
        <v>3</v>
      </c>
      <c r="AM48" s="2272">
        <f>OFFSET(AM48,0,-1)+1</f>
        <v>4</v>
      </c>
      <c r="AN48" s="2272"/>
      <c r="AO48" s="1335">
        <f>OFFSET(AO48,0,-2)+1</f>
        <v>5</v>
      </c>
      <c r="AP48" s="1245">
        <f>OFFSET(AP48,0,-1)</f>
        <v>5</v>
      </c>
      <c r="AQ48" s="1335">
        <f>OFFSET(AQ48,0,-1)+1</f>
        <v>6</v>
      </c>
      <c r="AR48" s="511"/>
      <c r="AS48" s="511"/>
      <c r="AT48" s="511"/>
      <c r="AU48" s="511"/>
      <c r="AV48" s="511"/>
      <c r="AW48" s="496">
        <v>0</v>
      </c>
    </row>
    <row customHeight="1" ht="22.049999999999997">
      <c r="A49" s="1267" t="s">
        <v>178</v>
      </c>
      <c r="B49" s="1267"/>
      <c r="C49" s="1267"/>
      <c r="D49" s="1267"/>
      <c r="E49" s="2289">
        <v>1</v>
      </c>
      <c r="F49" s="1267"/>
      <c r="G49" s="1267"/>
      <c r="H49" s="1267"/>
      <c r="I49" s="1267"/>
      <c r="J49" s="1267"/>
      <c r="K49" s="1267"/>
      <c r="L49" s="1267"/>
      <c r="M49" s="1310"/>
      <c r="N49" s="688"/>
      <c r="O49" s="688"/>
      <c r="P49" s="688"/>
      <c r="Q49" s="361"/>
      <c r="R49" s="360"/>
      <c r="S49" s="360"/>
      <c r="T49" s="355"/>
      <c r="U49" s="1336">
        <f>INDEX(PT_DIFFERENTIATION_NUM_NTAR,MATCH(A49,PT_DIFFERENTIATION_NTAR_ID,0))</f>
        <v>0</v>
      </c>
      <c r="V49" s="298" t="s">
        <v>127</v>
      </c>
      <c r="W49" s="300"/>
      <c r="X49" s="2242"/>
      <c r="Y49" s="2243"/>
      <c r="Z49" s="2243"/>
      <c r="AA49" s="2243"/>
      <c r="AB49" s="2243"/>
      <c r="AC49" s="2243"/>
      <c r="AD49" s="2243"/>
      <c r="AE49" s="2243"/>
      <c r="AF49" s="2244"/>
      <c r="AG49" s="2242" t="str">
        <f>INDEX(PT_DIFFERENTIATION_NTAR,MATCH(A49,PT_DIFFERENTIATION_NTAR_ID,0))</f>
        <v/>
      </c>
      <c r="AH49" s="2243"/>
      <c r="AI49" s="2243"/>
      <c r="AJ49" s="2243"/>
      <c r="AK49" s="2243"/>
      <c r="AL49" s="2243"/>
      <c r="AM49" s="2243"/>
      <c r="AN49" s="2243"/>
      <c r="AO49" s="2243"/>
      <c r="AP49" s="2244"/>
      <c r="AQ49" s="1258" t="str">
        <f>IF(TEMPLATE_GROUP="P","По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реквизиты"&amp;" (дата и номер) решения об установлении цены (тарифа), источник официального опубликования решения об установлении цены (тарифа) в сфере теплоснабжения.","В соответствии с данной формой раскрывается в том числе информация о тарифах на горячую воду, поставляемую единой теплоснабжающей организацией потребителям с использованием открытых систем теплоснабжения"&amp;" (горячего водоснабжения), установленных в виде формулы двухкомпонентного тарифа "&amp;"с использованием компонента на теплоноситель и компонента на тепловую энергию, в том числе о числовых значениях компонентов указанного тарифа. "&amp;"В соответствии с данной формой раскрывается в том числе информация о тарифах на товары (услуги) в сфере теплоснабжения в случаях, указанных частях 12 1 - 12 4 статьи 10 "&amp;"Федерального закона от 27 июля 2010 г. N 190-ФЗ ""О теплоснабжении"", теплоснабжающей организации, теплосетевой организации в ценовых зонах теплоснабжения.
"&amp;"Указывается наименование тарифа в случае расчета нескольких тарифов.
"&amp;"В случае наличия нескольких тарифов информация по ним указывается в отдельных строках.")</f>
        <v>В соответствии с данной формой раскрывается в том числе информация о тарифах на горячую воду, поставляемую единой теплоснабжающей организацией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 В соответствии с данной формой раскрывается в том числе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теплоснабжающей организации, теплосетевой организации в ценовых зонах теплоснабжения.
Указывается наименование тарифа в случае расчета нескольких тарифов.
В случае наличия нескольких тарифов информация по ним указывается в отдельных строках.</v>
      </c>
      <c r="AS49" s="500"/>
      <c r="AT49" s="500" t="str">
        <f>IF(V49="","",V49)</f>
        <v>Наименование тарифа</v>
      </c>
      <c r="AU49" s="500"/>
      <c r="AV49" s="500"/>
      <c r="AW49" s="1155">
        <v>21</v>
      </c>
    </row>
    <row customHeight="1" ht="22.049999999999997">
      <c r="A50" s="1267" t="s">
        <v>178</v>
      </c>
      <c r="B50" s="1267" t="s">
        <v>179</v>
      </c>
      <c r="C50" s="1267"/>
      <c r="D50" s="1267"/>
      <c r="E50" s="2290"/>
      <c r="F50" s="2289">
        <v>1</v>
      </c>
      <c r="G50" s="1267"/>
      <c r="H50" s="1267"/>
      <c r="I50" s="1267"/>
      <c r="J50" s="1267"/>
      <c r="K50" s="1267"/>
      <c r="L50" s="1267"/>
      <c r="M50" s="1310"/>
      <c r="N50" s="688"/>
      <c r="O50" s="688"/>
      <c r="P50" s="688"/>
      <c r="Q50" s="1332"/>
      <c r="R50" s="352"/>
      <c r="S50" s="509"/>
      <c r="T50" s="353"/>
      <c r="U50" s="1336" t="str">
        <f>INDEX(PT_DIFFERENTIATION_NUM_TER,MATCH(B50,PT_DIFFERENTIATION_TER_ID,0))</f>
        <v>.</v>
      </c>
      <c r="V50" s="308" t="s">
        <v>399</v>
      </c>
      <c r="W50" s="300"/>
      <c r="X50" s="2242"/>
      <c r="Y50" s="2243"/>
      <c r="Z50" s="2243"/>
      <c r="AA50" s="2243"/>
      <c r="AB50" s="2243"/>
      <c r="AC50" s="2243"/>
      <c r="AD50" s="2243"/>
      <c r="AE50" s="2243"/>
      <c r="AF50" s="2244"/>
      <c r="AG50" s="2242" t="str">
        <f>INDEX(PT_DIFFERENTIATION_TER,MATCH(B50,PT_DIFFERENTIATION_TER_ID,0))</f>
        <v/>
      </c>
      <c r="AH50" s="2243"/>
      <c r="AI50" s="2243"/>
      <c r="AJ50" s="2243"/>
      <c r="AK50" s="2243"/>
      <c r="AL50" s="2243"/>
      <c r="AM50" s="2243"/>
      <c r="AN50" s="2243"/>
      <c r="AO50" s="2243"/>
      <c r="AP50" s="2244"/>
      <c r="AQ50" s="1258" t="s">
        <v>400</v>
      </c>
      <c r="AS50" s="500"/>
      <c r="AT50" s="500" t="str">
        <f>IF(V50="","",V50)</f>
        <v>Территория действия тарифа</v>
      </c>
      <c r="AU50" s="500"/>
      <c r="AV50" s="500"/>
      <c r="AW50" s="1155">
        <v>21</v>
      </c>
    </row>
    <row customHeight="1" ht="24">
      <c r="A51" s="1267" t="s">
        <v>178</v>
      </c>
      <c r="B51" s="1267" t="s">
        <v>179</v>
      </c>
      <c r="C51" s="1267" t="s">
        <v>180</v>
      </c>
      <c r="D51" s="1267"/>
      <c r="E51" s="2290"/>
      <c r="F51" s="2290"/>
      <c r="G51" s="2289">
        <v>1</v>
      </c>
      <c r="H51" s="1267"/>
      <c r="I51" s="1267"/>
      <c r="J51" s="1267"/>
      <c r="K51" s="1267"/>
      <c r="L51" s="1267"/>
      <c r="M51" s="1310"/>
      <c r="N51" s="688"/>
      <c r="O51" s="688"/>
      <c r="P51" s="688"/>
      <c r="Q51" s="354"/>
      <c r="R51" s="352"/>
      <c r="S51" s="509"/>
      <c r="T51" s="353"/>
      <c r="U51" s="1336" t="str">
        <f>INDEX(PT_DIFFERENTIATION_NUM_CS,MATCH(C51,PT_DIFFERENTIATION_CS_ID,0))</f>
        <v>..</v>
      </c>
      <c r="V51" s="309" t="s">
        <v>401</v>
      </c>
      <c r="W51" s="300"/>
      <c r="X51" s="2242"/>
      <c r="Y51" s="2243"/>
      <c r="Z51" s="2243"/>
      <c r="AA51" s="2243"/>
      <c r="AB51" s="2243"/>
      <c r="AC51" s="2243"/>
      <c r="AD51" s="2243"/>
      <c r="AE51" s="2243"/>
      <c r="AF51" s="2244"/>
      <c r="AG51" s="2242" t="str">
        <f>INDEX(PT_DIFFERENTIATION_CS,MATCH(C51,PT_DIFFERENTIATION_CS_ID,0))</f>
        <v/>
      </c>
      <c r="AH51" s="2243"/>
      <c r="AI51" s="2243"/>
      <c r="AJ51" s="2243"/>
      <c r="AK51" s="2243"/>
      <c r="AL51" s="2243"/>
      <c r="AM51" s="2243"/>
      <c r="AN51" s="2243"/>
      <c r="AO51" s="2243"/>
      <c r="AP51" s="2244"/>
      <c r="AQ51" s="1258" t="s">
        <v>402</v>
      </c>
      <c r="AS51" s="500"/>
      <c r="AT51" s="500" t="str">
        <f>IF(V51="","",V51)</f>
        <v>Наименование системы теплоснабжения </v>
      </c>
      <c r="AU51" s="500"/>
      <c r="AV51" s="500"/>
      <c r="AW51" s="1155">
        <v>23</v>
      </c>
    </row>
    <row customHeight="1" ht="22.049999999999997">
      <c r="A52" s="1267" t="s">
        <v>178</v>
      </c>
      <c r="B52" s="1267" t="s">
        <v>179</v>
      </c>
      <c r="C52" s="1267" t="s">
        <v>180</v>
      </c>
      <c r="D52" s="1267" t="s">
        <v>181</v>
      </c>
      <c r="E52" s="2290"/>
      <c r="F52" s="2290"/>
      <c r="G52" s="2290"/>
      <c r="H52" s="2310">
        <v>1</v>
      </c>
      <c r="I52" s="1267"/>
      <c r="J52" s="1267"/>
      <c r="K52" s="1267"/>
      <c r="L52" s="1267"/>
      <c r="M52" s="1310"/>
      <c r="N52" s="688"/>
      <c r="O52" s="688"/>
      <c r="P52" s="688"/>
      <c r="Q52" s="354"/>
      <c r="R52" s="352"/>
      <c r="S52" s="509"/>
      <c r="T52" s="353"/>
      <c r="U52" s="1336" t="str">
        <f>INDEX(PT_DIFFERENTIATION_NUM_IST_TE,MATCH(D52,PT_DIFFERENTIATION_IST_TE_ID,0))</f>
        <v>...</v>
      </c>
      <c r="V52" s="310" t="s">
        <v>403</v>
      </c>
      <c r="W52" s="300"/>
      <c r="X52" s="2242"/>
      <c r="Y52" s="2243"/>
      <c r="Z52" s="2243"/>
      <c r="AA52" s="2243"/>
      <c r="AB52" s="2243"/>
      <c r="AC52" s="2243"/>
      <c r="AD52" s="2243"/>
      <c r="AE52" s="2243"/>
      <c r="AF52" s="2244"/>
      <c r="AG52" s="2242" t="str">
        <f>INDEX(PT_DIFFERENTIATION_IST_TE,MATCH(D52,PT_DIFFERENTIATION_IST_TE_ID,0))</f>
        <v/>
      </c>
      <c r="AH52" s="2243"/>
      <c r="AI52" s="2243"/>
      <c r="AJ52" s="2243"/>
      <c r="AK52" s="2243"/>
      <c r="AL52" s="2243"/>
      <c r="AM52" s="2243"/>
      <c r="AN52" s="2243"/>
      <c r="AO52" s="2243"/>
      <c r="AP52" s="2244"/>
      <c r="AQ52" s="1258" t="s">
        <v>404</v>
      </c>
      <c r="AS52" s="500"/>
      <c r="AT52" s="500" t="str">
        <f>IF(V52="","",V52)</f>
        <v>Источник тепловой энергии  </v>
      </c>
      <c r="AU52" s="500"/>
      <c r="AV52" s="500"/>
      <c r="AW52" s="1155">
        <v>21</v>
      </c>
    </row>
    <row s="1642" customFormat="1" customHeight="1" ht="0">
      <c r="A53" s="1375" t="s">
        <v>178</v>
      </c>
      <c r="B53" s="1375" t="s">
        <v>179</v>
      </c>
      <c r="C53" s="1375" t="s">
        <v>180</v>
      </c>
      <c r="D53" s="1375" t="s">
        <v>181</v>
      </c>
      <c r="E53" s="2290"/>
      <c r="F53" s="2290"/>
      <c r="G53" s="2290"/>
      <c r="H53" s="2311"/>
      <c r="I53" s="2127" t="str">
        <f>U52&amp;".1"</f>
        <v>....1</v>
      </c>
      <c r="J53" s="1375"/>
      <c r="K53" s="1375"/>
      <c r="L53" s="1375"/>
      <c r="M53" s="1381" t="s">
        <v>405</v>
      </c>
      <c r="N53" s="1246"/>
      <c r="O53" s="1246"/>
      <c r="P53" s="1246"/>
      <c r="Q53" s="2257">
        <v>1</v>
      </c>
      <c r="R53" s="1331"/>
      <c r="S53" s="1331"/>
      <c r="T53" s="356"/>
      <c r="U53" s="1042"/>
      <c r="V53" s="1383"/>
      <c r="W53" s="1384"/>
      <c r="X53" s="2296"/>
      <c r="Y53" s="2297"/>
      <c r="Z53" s="2297"/>
      <c r="AA53" s="2297"/>
      <c r="AB53" s="2297"/>
      <c r="AC53" s="2297"/>
      <c r="AD53" s="2297"/>
      <c r="AE53" s="2297"/>
      <c r="AF53" s="2298"/>
      <c r="AG53" s="2296"/>
      <c r="AH53" s="2297"/>
      <c r="AI53" s="2297"/>
      <c r="AJ53" s="2297"/>
      <c r="AK53" s="2297"/>
      <c r="AL53" s="2297"/>
      <c r="AM53" s="2297"/>
      <c r="AN53" s="2297"/>
      <c r="AO53" s="2297"/>
      <c r="AP53" s="2298"/>
      <c r="AQ53" s="1385"/>
      <c r="AS53" s="500"/>
      <c r="AT53" s="500" t="str">
        <f>IF(V53="","",V53)</f>
        <v/>
      </c>
      <c r="AU53" s="500"/>
      <c r="AV53" s="500"/>
      <c r="AW53" s="511">
        <v>0</v>
      </c>
    </row>
    <row customHeight="1" ht="22.049999999999997">
      <c r="A54" s="1267" t="s">
        <v>178</v>
      </c>
      <c r="B54" s="1267" t="s">
        <v>179</v>
      </c>
      <c r="C54" s="1267" t="s">
        <v>180</v>
      </c>
      <c r="D54" s="1267" t="s">
        <v>181</v>
      </c>
      <c r="E54" s="2290"/>
      <c r="F54" s="2290"/>
      <c r="G54" s="2290"/>
      <c r="H54" s="2311"/>
      <c r="I54" s="2101"/>
      <c r="J54" s="2127" t="str">
        <f>I53&amp;".1"</f>
        <v>....1.1</v>
      </c>
      <c r="K54" s="1267"/>
      <c r="L54" s="1267"/>
      <c r="M54" s="1310" t="s">
        <v>408</v>
      </c>
      <c r="Q54" s="2257"/>
      <c r="R54" s="2257">
        <v>1</v>
      </c>
      <c r="S54" s="518"/>
      <c r="T54" s="357"/>
      <c r="U54" s="1336" t="str">
        <f>$J54</f>
        <v>....1.1</v>
      </c>
      <c r="V54" s="286" t="s">
        <v>409</v>
      </c>
      <c r="W54" s="300"/>
      <c r="X54" s="2245"/>
      <c r="Y54" s="2246"/>
      <c r="Z54" s="2246"/>
      <c r="AA54" s="2246"/>
      <c r="AB54" s="2246"/>
      <c r="AC54" s="2235"/>
      <c r="AD54" s="2235"/>
      <c r="AE54" s="2235"/>
      <c r="AF54" s="2308"/>
      <c r="AG54" s="2245"/>
      <c r="AH54" s="2246"/>
      <c r="AI54" s="2246"/>
      <c r="AJ54" s="2246"/>
      <c r="AK54" s="2246"/>
      <c r="AL54" s="2246"/>
      <c r="AM54" s="2246"/>
      <c r="AN54" s="2246"/>
      <c r="AO54" s="2246"/>
      <c r="AP54" s="2247"/>
      <c r="AQ54" s="1258" t="s">
        <v>410</v>
      </c>
      <c r="AS54" s="500"/>
      <c r="AT54" s="500" t="str">
        <f>IF(V54="","",V54)</f>
        <v>Группа потребителей</v>
      </c>
      <c r="AU54" s="500"/>
      <c r="AV54" s="500"/>
      <c r="AW54" s="1155">
        <v>21</v>
      </c>
    </row>
    <row customHeight="1" ht="22.049999999999997">
      <c r="A55" s="1267" t="s">
        <v>178</v>
      </c>
      <c r="B55" s="1267" t="s">
        <v>179</v>
      </c>
      <c r="C55" s="1267" t="s">
        <v>180</v>
      </c>
      <c r="D55" s="1267" t="s">
        <v>181</v>
      </c>
      <c r="E55" s="2290"/>
      <c r="F55" s="2290"/>
      <c r="G55" s="2290"/>
      <c r="H55" s="2311"/>
      <c r="I55" s="2101"/>
      <c r="J55" s="2101"/>
      <c r="K55" s="2127" t="str">
        <f>J54&amp;".1"</f>
        <v>....1.1.1</v>
      </c>
      <c r="L55" s="139"/>
      <c r="M55" s="1310" t="s">
        <v>411</v>
      </c>
      <c r="Q55" s="2257"/>
      <c r="R55" s="2257"/>
      <c r="S55" s="518">
        <v>1</v>
      </c>
      <c r="T55" s="357"/>
      <c r="U55" s="1336" t="str">
        <f>$K55</f>
        <v>....1.1.1</v>
      </c>
      <c r="V55" s="1347"/>
      <c r="W55" s="300"/>
      <c r="X55" s="751"/>
      <c r="Y55" s="751"/>
      <c r="Z55" s="751"/>
      <c r="AA55" s="751"/>
      <c r="AB55" s="1405"/>
      <c r="AC55" s="2265"/>
      <c r="AD55" s="2107" t="s">
        <v>66</v>
      </c>
      <c r="AE55" s="2265"/>
      <c r="AF55" s="2107" t="s">
        <v>66</v>
      </c>
      <c r="AG55" s="1407"/>
      <c r="AH55" s="751"/>
      <c r="AI55" s="751"/>
      <c r="AJ55" s="751"/>
      <c r="AK55" s="1257"/>
      <c r="AL55" s="2265"/>
      <c r="AM55" s="2107" t="s">
        <v>66</v>
      </c>
      <c r="AN55" s="2265"/>
      <c r="AO55" s="2107" t="s">
        <v>66</v>
      </c>
      <c r="AP55" s="1348"/>
      <c r="AQ55" s="1307" t="s">
        <v>454</v>
      </c>
      <c r="AR55" s="511">
        <f>STRCHECKDATE(X57:AP57)</f>
      </c>
      <c r="AS55" s="500"/>
      <c r="AT55" s="500" t="str">
        <f>IF(V55="","",V55)</f>
        <v/>
      </c>
      <c r="AU55" s="500"/>
      <c r="AV55" s="500"/>
      <c r="AW55" s="1155">
        <v>21</v>
      </c>
    </row>
    <row customHeight="1" ht="11.549999999999999">
      <c r="A56" s="1267" t="s">
        <v>178</v>
      </c>
      <c r="B56" s="1267" t="s">
        <v>179</v>
      </c>
      <c r="C56" s="1267" t="s">
        <v>180</v>
      </c>
      <c r="D56" s="1267" t="s">
        <v>181</v>
      </c>
      <c r="E56" s="2290"/>
      <c r="F56" s="2290"/>
      <c r="G56" s="2290"/>
      <c r="H56" s="2311"/>
      <c r="I56" s="2101"/>
      <c r="J56" s="2101"/>
      <c r="K56" s="2101"/>
      <c r="L56" s="2127" t="str">
        <f>K55&amp;".1"</f>
        <v>....1.1.1.1</v>
      </c>
      <c r="M56" s="1310"/>
      <c r="Q56" s="2257"/>
      <c r="R56" s="2257"/>
      <c r="S56" s="518">
        <v>1</v>
      </c>
      <c r="T56" s="357"/>
      <c r="U56" s="1336" t="str">
        <f>$L56</f>
        <v>....1.1.1.1</v>
      </c>
      <c r="V56" s="1391"/>
      <c r="W56" s="300"/>
      <c r="X56" s="325"/>
      <c r="Y56" s="751"/>
      <c r="Z56" s="751"/>
      <c r="AA56" s="751"/>
      <c r="AB56" s="1405"/>
      <c r="AC56" s="2309"/>
      <c r="AD56" s="2107"/>
      <c r="AE56" s="2309"/>
      <c r="AF56" s="2107"/>
      <c r="AG56" s="1407"/>
      <c r="AH56" s="751"/>
      <c r="AI56" s="751"/>
      <c r="AJ56" s="751"/>
      <c r="AK56" s="1257"/>
      <c r="AL56" s="2309"/>
      <c r="AM56" s="2107"/>
      <c r="AN56" s="2309"/>
      <c r="AO56" s="2107"/>
      <c r="AP56" s="1348"/>
      <c r="AQ56" s="2253" t="s">
        <v>455</v>
      </c>
      <c r="AR56" s="511">
        <f>STRCHECKDATE(X58:AP58)</f>
      </c>
      <c r="AS56" s="500"/>
      <c r="AT56" s="500" t="str">
        <f>IF(V56="","",V56)</f>
        <v/>
      </c>
      <c r="AU56" s="500"/>
      <c r="AV56" s="500"/>
      <c r="AW56" s="1155">
        <v>11</v>
      </c>
    </row>
    <row customHeight="1" ht="0">
      <c r="A57" s="1267" t="s">
        <v>178</v>
      </c>
      <c r="B57" s="1267" t="s">
        <v>179</v>
      </c>
      <c r="C57" s="1267" t="s">
        <v>180</v>
      </c>
      <c r="D57" s="1267" t="s">
        <v>181</v>
      </c>
      <c r="E57" s="2290"/>
      <c r="F57" s="2290"/>
      <c r="G57" s="2290"/>
      <c r="H57" s="2311"/>
      <c r="I57" s="2101"/>
      <c r="J57" s="2101"/>
      <c r="K57" s="2101"/>
      <c r="L57" s="2127"/>
      <c r="M57" s="1310"/>
      <c r="Q57" s="2257"/>
      <c r="R57" s="2257"/>
      <c r="S57" s="518"/>
      <c r="T57" s="357"/>
      <c r="U57" s="1342"/>
      <c r="V57" s="300"/>
      <c r="W57" s="300"/>
      <c r="X57" s="325"/>
      <c r="Y57" s="325"/>
      <c r="Z57" s="325"/>
      <c r="AA57" s="325"/>
      <c r="AB57" s="1406" t="str">
        <f>AC55&amp;"-"&amp;AE55</f>
        <v>-</v>
      </c>
      <c r="AC57" s="2309"/>
      <c r="AD57" s="2107"/>
      <c r="AE57" s="2309"/>
      <c r="AF57" s="2107"/>
      <c r="AG57" s="1382"/>
      <c r="AH57" s="325"/>
      <c r="AI57" s="325"/>
      <c r="AJ57" s="325"/>
      <c r="AK57" s="328" t="str">
        <f>AL55&amp;"-"&amp;AN55</f>
        <v>-</v>
      </c>
      <c r="AL57" s="2309"/>
      <c r="AM57" s="2107"/>
      <c r="AN57" s="2309"/>
      <c r="AO57" s="2107"/>
      <c r="AP57" s="1349"/>
      <c r="AQ57" s="2254"/>
      <c r="AS57" s="500"/>
      <c r="AT57" s="500" t="str">
        <f>IF(V57="","",V57)</f>
        <v/>
      </c>
      <c r="AU57" s="500"/>
      <c r="AV57" s="500"/>
      <c r="AW57" s="1155">
        <v>0</v>
      </c>
    </row>
    <row customHeight="1" ht="11.549999999999999">
      <c r="A58" s="1267" t="s">
        <v>178</v>
      </c>
      <c r="B58" s="1267" t="s">
        <v>179</v>
      </c>
      <c r="C58" s="1267" t="s">
        <v>180</v>
      </c>
      <c r="D58" s="1267" t="s">
        <v>181</v>
      </c>
      <c r="E58" s="2290"/>
      <c r="F58" s="2290"/>
      <c r="G58" s="2290"/>
      <c r="H58" s="2311"/>
      <c r="I58" s="2101"/>
      <c r="J58" s="2101"/>
      <c r="K58" s="2127"/>
      <c r="L58" s="1267"/>
      <c r="M58" s="1310"/>
      <c r="Q58" s="2257"/>
      <c r="R58" s="2257"/>
      <c r="S58" s="1331"/>
      <c r="T58" s="356"/>
      <c r="U58" s="1278"/>
      <c r="V58" s="288" t="s">
        <v>456</v>
      </c>
      <c r="W58" s="367"/>
      <c r="X58" s="367"/>
      <c r="Y58" s="367"/>
      <c r="Z58" s="367"/>
      <c r="AA58" s="367"/>
      <c r="AB58" s="367"/>
      <c r="AC58" s="2309"/>
      <c r="AD58" s="2107"/>
      <c r="AE58" s="2309"/>
      <c r="AF58" s="2107"/>
      <c r="AG58" s="367"/>
      <c r="AH58" s="367"/>
      <c r="AI58" s="367"/>
      <c r="AJ58" s="367"/>
      <c r="AK58" s="367"/>
      <c r="AL58" s="2309"/>
      <c r="AM58" s="2107"/>
      <c r="AN58" s="2309"/>
      <c r="AO58" s="2107"/>
      <c r="AP58" s="324"/>
      <c r="AQ58" s="2254"/>
      <c r="AS58" s="500"/>
      <c r="AT58" s="500" t="str">
        <f>IF(V58="","",V58)</f>
        <v>Добавить наименование поставщика</v>
      </c>
      <c r="AU58" s="500"/>
      <c r="AV58" s="500"/>
      <c r="AW58" s="1155">
        <v>11</v>
      </c>
    </row>
    <row customHeight="1" ht="11.549999999999999">
      <c r="A59" s="1267" t="s">
        <v>178</v>
      </c>
      <c r="B59" s="1267" t="s">
        <v>179</v>
      </c>
      <c r="C59" s="1267" t="s">
        <v>180</v>
      </c>
      <c r="D59" s="1267" t="s">
        <v>181</v>
      </c>
      <c r="E59" s="2290"/>
      <c r="F59" s="2290"/>
      <c r="G59" s="2290"/>
      <c r="H59" s="2311"/>
      <c r="I59" s="2101"/>
      <c r="J59" s="2127"/>
      <c r="K59" s="1267"/>
      <c r="L59" s="1267"/>
      <c r="M59" s="1310"/>
      <c r="Q59" s="2257"/>
      <c r="R59" s="2257"/>
      <c r="S59" s="1331"/>
      <c r="T59" s="356"/>
      <c r="U59" s="1278"/>
      <c r="V59" s="287" t="s">
        <v>413</v>
      </c>
      <c r="W59" s="367"/>
      <c r="X59" s="367"/>
      <c r="Y59" s="367"/>
      <c r="Z59" s="367"/>
      <c r="AA59" s="367"/>
      <c r="AB59" s="367"/>
      <c r="AC59" s="1408"/>
      <c r="AD59" s="1408"/>
      <c r="AE59" s="1408"/>
      <c r="AF59" s="1408"/>
      <c r="AG59" s="367"/>
      <c r="AH59" s="367"/>
      <c r="AI59" s="367"/>
      <c r="AJ59" s="367"/>
      <c r="AK59" s="367"/>
      <c r="AL59" s="367"/>
      <c r="AM59" s="367"/>
      <c r="AN59" s="367"/>
      <c r="AO59" s="367"/>
      <c r="AP59" s="324"/>
      <c r="AQ59" s="2255"/>
      <c r="AS59" s="500"/>
      <c r="AT59" s="500" t="str">
        <f>IF(V59="","",V59)</f>
        <v>Добавить вид теплоносителя (параметры теплоносителя)</v>
      </c>
      <c r="AU59" s="500"/>
      <c r="AV59" s="500"/>
      <c r="AW59" s="1155">
        <v>11</v>
      </c>
    </row>
    <row customHeight="1" ht="11.549999999999999">
      <c r="A60" s="1267" t="s">
        <v>178</v>
      </c>
      <c r="B60" s="1267" t="s">
        <v>179</v>
      </c>
      <c r="C60" s="1267" t="s">
        <v>180</v>
      </c>
      <c r="D60" s="1267" t="s">
        <v>181</v>
      </c>
      <c r="E60" s="2290"/>
      <c r="F60" s="2290"/>
      <c r="G60" s="2290"/>
      <c r="H60" s="2311"/>
      <c r="I60" s="2127"/>
      <c r="J60" s="1267"/>
      <c r="K60" s="1267"/>
      <c r="L60" s="1267"/>
      <c r="M60" s="1310"/>
      <c r="Q60" s="2257"/>
      <c r="R60" s="1331"/>
      <c r="S60" s="1331"/>
      <c r="T60" s="356"/>
      <c r="U60" s="1278"/>
      <c r="V60" s="365" t="s">
        <v>414</v>
      </c>
      <c r="W60" s="367"/>
      <c r="X60" s="367"/>
      <c r="Y60" s="367"/>
      <c r="Z60" s="367"/>
      <c r="AA60" s="367"/>
      <c r="AB60" s="367"/>
      <c r="AC60" s="367"/>
      <c r="AD60" s="367"/>
      <c r="AE60" s="367"/>
      <c r="AF60" s="366"/>
      <c r="AG60" s="367"/>
      <c r="AH60" s="367"/>
      <c r="AI60" s="367"/>
      <c r="AJ60" s="367"/>
      <c r="AK60" s="367"/>
      <c r="AL60" s="367"/>
      <c r="AM60" s="367"/>
      <c r="AN60" s="367"/>
      <c r="AO60" s="366"/>
      <c r="AP60" s="367"/>
      <c r="AQ60" s="303"/>
      <c r="AS60" s="500"/>
      <c r="AT60" s="500" t="str">
        <f>IF(V60="","",V60)</f>
        <v>Добавить группу потребителей</v>
      </c>
      <c r="AU60" s="500"/>
      <c r="AV60" s="500"/>
      <c r="AW60" s="1155">
        <v>11</v>
      </c>
    </row>
    <row customHeight="1" ht="0">
      <c r="A61" s="1267" t="s">
        <v>178</v>
      </c>
      <c r="B61" s="1267" t="s">
        <v>179</v>
      </c>
      <c r="C61" s="1267" t="s">
        <v>180</v>
      </c>
      <c r="D61" s="1267" t="s">
        <v>181</v>
      </c>
      <c r="E61" s="2290"/>
      <c r="F61" s="2290"/>
      <c r="G61" s="2290"/>
      <c r="H61" s="2310"/>
      <c r="I61" s="1267"/>
      <c r="J61" s="1267"/>
      <c r="K61" s="1267"/>
      <c r="L61" s="1267"/>
      <c r="M61" s="1310"/>
      <c r="N61" s="688"/>
      <c r="O61" s="688"/>
      <c r="P61" s="509"/>
      <c r="Q61" s="360"/>
      <c r="R61" s="375"/>
      <c r="S61" s="355"/>
      <c r="T61" s="360"/>
      <c r="U61" s="1386"/>
      <c r="V61" s="1387"/>
      <c r="W61" s="1388"/>
      <c r="X61" s="1388"/>
      <c r="Y61" s="1388"/>
      <c r="Z61" s="1388"/>
      <c r="AA61" s="1388"/>
      <c r="AB61" s="1388"/>
      <c r="AC61" s="1388"/>
      <c r="AD61" s="1388"/>
      <c r="AE61" s="1388"/>
      <c r="AF61" s="1388"/>
      <c r="AG61" s="1388"/>
      <c r="AH61" s="1388"/>
      <c r="AI61" s="1388"/>
      <c r="AJ61" s="1388"/>
      <c r="AK61" s="1388"/>
      <c r="AL61" s="1388"/>
      <c r="AM61" s="1388"/>
      <c r="AN61" s="1388"/>
      <c r="AO61" s="1388"/>
      <c r="AP61" s="1388"/>
      <c r="AQ61" s="1389"/>
      <c r="AS61" s="500"/>
      <c r="AT61" s="500" t="str">
        <f>IF(V61="","",V61)</f>
        <v/>
      </c>
      <c r="AU61" s="500"/>
      <c r="AV61" s="500"/>
      <c r="AW61" s="1155">
        <v>0</v>
      </c>
    </row>
    <row s="1642" customFormat="1" customHeight="1" ht="0">
      <c r="A62" s="1375" t="s">
        <v>178</v>
      </c>
      <c r="B62" s="1375" t="s">
        <v>179</v>
      </c>
      <c r="C62" s="1375" t="s">
        <v>180</v>
      </c>
      <c r="D62" s="1374"/>
      <c r="E62" s="2290"/>
      <c r="F62" s="2290"/>
      <c r="G62" s="2289"/>
      <c r="H62" s="1374"/>
      <c r="I62" s="1374"/>
      <c r="J62" s="1374"/>
      <c r="K62" s="1374"/>
      <c r="L62" s="1374"/>
      <c r="M62" s="1377"/>
      <c r="N62" s="1378"/>
      <c r="O62" s="1378"/>
      <c r="P62" s="351"/>
      <c r="Q62" s="1316"/>
      <c r="R62" s="1317"/>
      <c r="S62" s="1316"/>
      <c r="T62" s="1316"/>
      <c r="U62" s="1322"/>
      <c r="V62" s="1325" t="s">
        <v>416</v>
      </c>
      <c r="W62" s="1324"/>
      <c r="X62" s="1324"/>
      <c r="Y62" s="1324"/>
      <c r="Z62" s="1324"/>
      <c r="AA62" s="1324"/>
      <c r="AB62" s="1324"/>
      <c r="AC62" s="1324"/>
      <c r="AD62" s="1324"/>
      <c r="AE62" s="1324"/>
      <c r="AF62" s="1324"/>
      <c r="AG62" s="1324"/>
      <c r="AH62" s="1324"/>
      <c r="AI62" s="1324"/>
      <c r="AJ62" s="1324"/>
      <c r="AK62" s="1324"/>
      <c r="AL62" s="1324"/>
      <c r="AM62" s="1324"/>
      <c r="AN62" s="1324"/>
      <c r="AO62" s="1324"/>
      <c r="AP62" s="1324"/>
      <c r="AQ62" s="1324"/>
      <c r="AS62" s="789"/>
      <c r="AT62" s="789" t="str">
        <f>IF(V62="","",V62)</f>
        <v>Добавить источник для дифференциации</v>
      </c>
      <c r="AU62" s="789"/>
      <c r="AV62" s="789"/>
      <c r="AW62" s="518">
        <v>0</v>
      </c>
    </row>
    <row s="1642" customFormat="1" customHeight="1" ht="0">
      <c r="A63" s="1375" t="s">
        <v>178</v>
      </c>
      <c r="B63" s="1375" t="s">
        <v>179</v>
      </c>
      <c r="C63" s="1374"/>
      <c r="D63" s="1374"/>
      <c r="E63" s="2290"/>
      <c r="F63" s="2289"/>
      <c r="G63" s="1374"/>
      <c r="H63" s="1374"/>
      <c r="I63" s="1374"/>
      <c r="J63" s="1374"/>
      <c r="K63" s="1374"/>
      <c r="L63" s="1374"/>
      <c r="M63" s="1377"/>
      <c r="N63" s="1379"/>
      <c r="O63" s="1379"/>
      <c r="P63" s="351"/>
      <c r="Q63" s="1316"/>
      <c r="R63" s="1317"/>
      <c r="S63" s="1316"/>
      <c r="T63" s="1316"/>
      <c r="U63" s="1322"/>
      <c r="V63" s="1325" t="s">
        <v>417</v>
      </c>
      <c r="W63" s="1324"/>
      <c r="X63" s="1324"/>
      <c r="Y63" s="1324"/>
      <c r="Z63" s="1324"/>
      <c r="AA63" s="1324"/>
      <c r="AB63" s="1324"/>
      <c r="AC63" s="1324"/>
      <c r="AD63" s="1324"/>
      <c r="AE63" s="1324"/>
      <c r="AF63" s="1324"/>
      <c r="AG63" s="1324"/>
      <c r="AH63" s="1324"/>
      <c r="AI63" s="1324"/>
      <c r="AJ63" s="1324"/>
      <c r="AK63" s="1324"/>
      <c r="AL63" s="1324"/>
      <c r="AM63" s="1324"/>
      <c r="AN63" s="1324"/>
      <c r="AO63" s="1324"/>
      <c r="AP63" s="1324"/>
      <c r="AQ63" s="1324"/>
      <c r="AS63" s="789"/>
      <c r="AT63" s="789" t="str">
        <f>IF(V63="","",V63)</f>
        <v>Добавить централизованную систему для дифференциации</v>
      </c>
      <c r="AU63" s="789"/>
      <c r="AV63" s="789"/>
      <c r="AW63" s="518">
        <v>0</v>
      </c>
    </row>
    <row s="1642" customFormat="1" customHeight="1" ht="0">
      <c r="A64" s="1375" t="s">
        <v>178</v>
      </c>
      <c r="B64" s="1375"/>
      <c r="C64" s="1375"/>
      <c r="D64" s="1375"/>
      <c r="E64" s="2289"/>
      <c r="F64" s="1375"/>
      <c r="G64" s="1375"/>
      <c r="H64" s="1375"/>
      <c r="I64" s="1375"/>
      <c r="J64" s="1375"/>
      <c r="K64" s="1375"/>
      <c r="L64" s="1375"/>
      <c r="M64" s="1381"/>
      <c r="N64" s="1379"/>
      <c r="O64" s="1379"/>
      <c r="P64" s="351"/>
      <c r="Q64" s="380"/>
      <c r="R64" s="1344"/>
      <c r="S64" s="380"/>
      <c r="T64" s="380"/>
      <c r="U64" s="1322"/>
      <c r="V64" s="1325" t="s">
        <v>418</v>
      </c>
      <c r="W64" s="1324"/>
      <c r="X64" s="1324"/>
      <c r="Y64" s="1324"/>
      <c r="Z64" s="1324"/>
      <c r="AA64" s="1324"/>
      <c r="AB64" s="1324"/>
      <c r="AC64" s="1324"/>
      <c r="AD64" s="1324"/>
      <c r="AE64" s="1324"/>
      <c r="AF64" s="1324"/>
      <c r="AG64" s="1324"/>
      <c r="AH64" s="1324"/>
      <c r="AI64" s="1324"/>
      <c r="AJ64" s="1324"/>
      <c r="AK64" s="1324"/>
      <c r="AL64" s="1324"/>
      <c r="AM64" s="1324"/>
      <c r="AN64" s="1324"/>
      <c r="AO64" s="1324"/>
      <c r="AP64" s="1324"/>
      <c r="AQ64" s="1324"/>
      <c r="AS64" s="500"/>
      <c r="AT64" s="500" t="str">
        <f>IF(V64="","",V64)</f>
        <v>Добавить территорию для дифференциации</v>
      </c>
      <c r="AU64" s="500"/>
      <c r="AV64" s="500"/>
      <c r="AW64" s="511">
        <v>0</v>
      </c>
    </row>
    <row s="1642" customFormat="1" customHeight="1" ht="4.2">
      <c r="A65" s="1374"/>
      <c r="B65" s="1374"/>
      <c r="C65" s="1374"/>
      <c r="D65" s="1374"/>
      <c r="E65" s="1375"/>
      <c r="F65" s="1374"/>
      <c r="G65" s="1374"/>
      <c r="H65" s="1374"/>
      <c r="I65" s="1374"/>
      <c r="J65" s="1374"/>
      <c r="K65" s="1374"/>
      <c r="L65" s="1374"/>
      <c r="M65" s="1377"/>
      <c r="N65" s="1379"/>
      <c r="O65" s="1379"/>
      <c r="P65" s="351"/>
      <c r="Q65" s="1316"/>
      <c r="R65" s="1317"/>
      <c r="S65" s="1316"/>
      <c r="T65" s="1316"/>
      <c r="U65" s="1322"/>
      <c r="V65" s="1325" t="s">
        <v>450</v>
      </c>
      <c r="W65" s="1324"/>
      <c r="X65" s="1324"/>
      <c r="Y65" s="1324"/>
      <c r="Z65" s="1324"/>
      <c r="AA65" s="1324"/>
      <c r="AB65" s="1324"/>
      <c r="AC65" s="1324"/>
      <c r="AD65" s="1324"/>
      <c r="AE65" s="1324"/>
      <c r="AF65" s="1324"/>
      <c r="AG65" s="1324"/>
      <c r="AH65" s="1324"/>
      <c r="AI65" s="1324"/>
      <c r="AJ65" s="1324"/>
      <c r="AK65" s="1324"/>
      <c r="AL65" s="1324"/>
      <c r="AM65" s="1324"/>
      <c r="AN65" s="1324"/>
      <c r="AO65" s="1324"/>
      <c r="AP65" s="1324"/>
      <c r="AQ65" s="1324"/>
      <c r="AS65" s="789"/>
      <c r="AT65" s="789" t="str">
        <f>IF(V65="","",V65)</f>
        <v>Добавить наименование тарифа</v>
      </c>
      <c r="AU65" s="789"/>
      <c r="AV65" s="789"/>
      <c r="AW65" s="518">
        <v>4</v>
      </c>
    </row>
    <row customHeight="1" ht="11.549999999999999">
      <c r="N66" s="1155"/>
      <c r="O66" s="1155"/>
      <c r="P66" s="509"/>
      <c r="Q66" s="1155"/>
      <c r="R66" s="1155"/>
      <c r="S66" s="1155"/>
      <c r="T66" s="1155"/>
      <c r="U66" s="1155"/>
      <c r="AR66" s="1155"/>
      <c r="AS66" s="1155"/>
      <c r="AT66" s="1155"/>
      <c r="AU66" s="1155"/>
      <c r="AV66" s="1155"/>
      <c r="AW66" s="1155">
        <v>11</v>
      </c>
    </row>
    <row customHeight="1" ht="35.699999999999996">
      <c r="P67" s="509"/>
      <c r="U67" s="1253"/>
      <c r="V67" s="2285"/>
      <c r="W67" s="2285"/>
      <c r="X67" s="2285"/>
      <c r="Y67" s="2285"/>
      <c r="Z67" s="2285"/>
      <c r="AA67" s="2285"/>
      <c r="AB67" s="2285"/>
      <c r="AC67" s="2285"/>
      <c r="AD67" s="2285"/>
      <c r="AE67" s="2285"/>
      <c r="AF67" s="2285"/>
      <c r="AG67" s="2285"/>
      <c r="AH67" s="2285"/>
      <c r="AI67" s="2285"/>
      <c r="AJ67" s="2285"/>
      <c r="AK67" s="2285"/>
      <c r="AL67" s="2285"/>
      <c r="AM67" s="2285"/>
      <c r="AN67" s="2285"/>
      <c r="AO67" s="2285"/>
      <c r="AP67" s="2285"/>
      <c r="AQ67" s="2285"/>
      <c r="AW67" s="1155">
        <v>34</v>
      </c>
    </row>
    <row customHeight="1" ht="21">
      <c r="P68" s="509"/>
      <c r="V68" s="2285"/>
      <c r="W68" s="2285"/>
      <c r="X68" s="2285"/>
      <c r="Y68" s="2285"/>
      <c r="Z68" s="2285"/>
      <c r="AA68" s="2285"/>
      <c r="AB68" s="2285"/>
      <c r="AC68" s="2285"/>
      <c r="AD68" s="2285"/>
      <c r="AE68" s="2285"/>
      <c r="AF68" s="2285"/>
      <c r="AG68" s="2285"/>
      <c r="AH68" s="2285"/>
      <c r="AI68" s="2285"/>
      <c r="AJ68" s="2285"/>
      <c r="AK68" s="2285"/>
      <c r="AL68" s="2285"/>
      <c r="AM68" s="2285"/>
      <c r="AN68" s="2285"/>
      <c r="AO68" s="2285"/>
      <c r="AP68" s="2285"/>
      <c r="AQ68" s="2285"/>
      <c r="AW68" s="1155">
        <v>20</v>
      </c>
    </row>
    <row customHeight="1" ht="14.699999999999998">
      <c r="P69" s="509"/>
      <c r="AW69" s="1155">
        <v>14</v>
      </c>
    </row>
    <row customHeight="1" ht="28.5">
      <c r="P70" s="509"/>
      <c r="V70" s="2285"/>
      <c r="W70" s="2285"/>
      <c r="X70" s="2285"/>
      <c r="Y70" s="2285"/>
      <c r="Z70" s="2285"/>
      <c r="AA70" s="2285"/>
      <c r="AB70" s="2285"/>
      <c r="AC70" s="2285"/>
      <c r="AD70" s="2285"/>
      <c r="AE70" s="2285"/>
      <c r="AF70" s="2285"/>
      <c r="AG70" s="2285"/>
      <c r="AH70" s="2285"/>
      <c r="AI70" s="2285"/>
      <c r="AJ70" s="2285"/>
      <c r="AK70" s="2285"/>
      <c r="AL70" s="2285"/>
      <c r="AM70" s="2285"/>
      <c r="AN70" s="2285"/>
      <c r="AO70" s="2285"/>
      <c r="AP70" s="2285"/>
      <c r="AQ70" s="2285"/>
      <c r="AW70" s="1155">
        <v>27</v>
      </c>
    </row>
    <row customHeight="1" ht="18.75">
      <c r="P71" s="509"/>
      <c r="V71" s="2285"/>
      <c r="W71" s="2285"/>
      <c r="X71" s="2285"/>
      <c r="Y71" s="2285"/>
      <c r="Z71" s="2285"/>
      <c r="AA71" s="2285"/>
      <c r="AB71" s="2285"/>
      <c r="AC71" s="2285"/>
      <c r="AD71" s="2285"/>
      <c r="AE71" s="2285"/>
      <c r="AF71" s="2285"/>
      <c r="AG71" s="2285"/>
      <c r="AH71" s="2285"/>
      <c r="AI71" s="2285"/>
      <c r="AJ71" s="2285"/>
      <c r="AK71" s="2285"/>
      <c r="AL71" s="2285"/>
      <c r="AM71" s="2285"/>
      <c r="AN71" s="2285"/>
      <c r="AO71" s="2285"/>
      <c r="AP71" s="2285"/>
      <c r="AQ71" s="2285"/>
      <c r="AW71" s="1155">
        <v>18</v>
      </c>
    </row>
    <row customHeight="1" ht="22.5" hidden="1">
      <c r="A72" s="1155" t="s">
        <v>82</v>
      </c>
      <c r="B72" s="1155">
        <v>0</v>
      </c>
      <c r="C72" s="1155">
        <v>0</v>
      </c>
      <c r="D72" s="1155">
        <v>0</v>
      </c>
      <c r="E72" s="1155">
        <v>0</v>
      </c>
      <c r="F72" s="1155">
        <v>0</v>
      </c>
      <c r="G72" s="1155">
        <v>0</v>
      </c>
      <c r="H72" s="1155">
        <v>0</v>
      </c>
      <c r="I72" s="1155">
        <v>0</v>
      </c>
      <c r="J72" s="1155">
        <v>0</v>
      </c>
      <c r="K72" s="1155">
        <v>0</v>
      </c>
      <c r="L72" s="1155">
        <v>0</v>
      </c>
      <c r="M72" s="1327">
        <v>0</v>
      </c>
      <c r="N72" s="1328">
        <v>0</v>
      </c>
      <c r="O72" s="1328">
        <v>0</v>
      </c>
      <c r="P72" s="1328">
        <v>0</v>
      </c>
      <c r="Q72" s="1328">
        <v>0</v>
      </c>
      <c r="R72" s="344">
        <v>3</v>
      </c>
      <c r="S72" s="344">
        <v>3</v>
      </c>
      <c r="T72" s="344">
        <v>3</v>
      </c>
      <c r="U72" s="581">
        <v>12</v>
      </c>
      <c r="V72" s="1155">
        <v>31</v>
      </c>
      <c r="W72" s="1155">
        <v>0</v>
      </c>
      <c r="X72" s="1155">
        <v>0</v>
      </c>
      <c r="Y72" s="1155">
        <v>0</v>
      </c>
      <c r="Z72" s="1155">
        <v>0</v>
      </c>
      <c r="AA72" s="1155">
        <v>0</v>
      </c>
      <c r="AB72" s="1155">
        <v>0</v>
      </c>
      <c r="AC72" s="1155">
        <v>0</v>
      </c>
      <c r="AD72" s="1155">
        <v>0</v>
      </c>
      <c r="AE72" s="1155">
        <v>0</v>
      </c>
      <c r="AF72" s="1155">
        <v>0</v>
      </c>
      <c r="AG72" s="1155">
        <v>21</v>
      </c>
      <c r="AH72" s="1155">
        <v>21</v>
      </c>
      <c r="AI72" s="1155">
        <v>21</v>
      </c>
      <c r="AJ72" s="1155">
        <v>21</v>
      </c>
      <c r="AK72" s="1155">
        <v>21</v>
      </c>
      <c r="AL72" s="1155">
        <v>11</v>
      </c>
      <c r="AM72" s="1155">
        <v>3</v>
      </c>
      <c r="AN72" s="1155">
        <v>11</v>
      </c>
      <c r="AO72" s="1155">
        <v>8</v>
      </c>
      <c r="AP72" s="1155">
        <v>4</v>
      </c>
      <c r="AQ72" s="1155">
        <v>115</v>
      </c>
      <c r="AR72" s="511">
        <v>10</v>
      </c>
      <c r="AS72" s="511">
        <v>10</v>
      </c>
      <c r="AT72" s="511">
        <v>10</v>
      </c>
      <c r="AU72" s="511">
        <v>10</v>
      </c>
      <c r="AV72" s="511">
        <v>10</v>
      </c>
      <c r="AW72" s="1155">
        <v>23</v>
      </c>
    </row>
  </sheetData>
  <sheetProtection formatColumns="0" formatRows="0" autoFilter="0" sort="0" insertRows="0" insertColumns="1" deleteRows="0" deleteColumns="0"/>
  <mergeCells count="122">
    <mergeCell ref="V71:AQ71"/>
    <mergeCell ref="U39:V39"/>
    <mergeCell ref="X39:AE39"/>
    <mergeCell ref="AG39:AN39"/>
    <mergeCell ref="U38:V38"/>
    <mergeCell ref="X38:AE38"/>
    <mergeCell ref="AG38:AN38"/>
    <mergeCell ref="AL55:AL58"/>
    <mergeCell ref="AM55:AM58"/>
    <mergeCell ref="AN55:AN58"/>
    <mergeCell ref="AO55:AO58"/>
    <mergeCell ref="V70:AQ70"/>
    <mergeCell ref="AQ42:AQ47"/>
    <mergeCell ref="AQ56:AQ59"/>
    <mergeCell ref="V67:AQ67"/>
    <mergeCell ref="V68:AQ68"/>
    <mergeCell ref="Y44:AB44"/>
    <mergeCell ref="Y45:Y47"/>
    <mergeCell ref="Z45:AB45"/>
    <mergeCell ref="AA46:AB46"/>
    <mergeCell ref="Z46:Z47"/>
    <mergeCell ref="AC46:AC47"/>
    <mergeCell ref="AD46:AE47"/>
    <mergeCell ref="AC44:AE45"/>
    <mergeCell ref="AH44:AK44"/>
    <mergeCell ref="AL44:AN45"/>
    <mergeCell ref="AH45:AH47"/>
    <mergeCell ref="X53:AF53"/>
    <mergeCell ref="AG53:AP53"/>
    <mergeCell ref="AI45:AK45"/>
    <mergeCell ref="AI46:AI47"/>
    <mergeCell ref="AJ46:AK46"/>
    <mergeCell ref="AL46:AL47"/>
    <mergeCell ref="AM46:AN47"/>
    <mergeCell ref="AP43:AP47"/>
    <mergeCell ref="X44:X47"/>
    <mergeCell ref="AG44:AG47"/>
    <mergeCell ref="AC55:AC58"/>
    <mergeCell ref="AE55:AE58"/>
    <mergeCell ref="AD55:AD58"/>
    <mergeCell ref="E49:E64"/>
    <mergeCell ref="X49:AF49"/>
    <mergeCell ref="AG49:AP49"/>
    <mergeCell ref="F50:F63"/>
    <mergeCell ref="X50:AF50"/>
    <mergeCell ref="AG50:AP50"/>
    <mergeCell ref="G51:G62"/>
    <mergeCell ref="X51:AF51"/>
    <mergeCell ref="AG51:AP51"/>
    <mergeCell ref="H52:H61"/>
    <mergeCell ref="X52:AF52"/>
    <mergeCell ref="AG52:AP52"/>
    <mergeCell ref="I53:I60"/>
    <mergeCell ref="Q53:Q60"/>
    <mergeCell ref="L56:L57"/>
    <mergeCell ref="AF55:AF58"/>
    <mergeCell ref="U36:V36"/>
    <mergeCell ref="X36:AE36"/>
    <mergeCell ref="AG36:AN36"/>
    <mergeCell ref="X33:AE33"/>
    <mergeCell ref="AG33:AN33"/>
    <mergeCell ref="U34:V34"/>
    <mergeCell ref="X34:AE34"/>
    <mergeCell ref="AG34:AN34"/>
    <mergeCell ref="J54:J59"/>
    <mergeCell ref="R54:R59"/>
    <mergeCell ref="X54:AF54"/>
    <mergeCell ref="AG54:AP54"/>
    <mergeCell ref="K55:K58"/>
    <mergeCell ref="AD48:AE48"/>
    <mergeCell ref="AM48:AN48"/>
    <mergeCell ref="X41:AF41"/>
    <mergeCell ref="AG41:AO41"/>
    <mergeCell ref="U42:AP42"/>
    <mergeCell ref="U43:U47"/>
    <mergeCell ref="V43:V47"/>
    <mergeCell ref="X43:AE43"/>
    <mergeCell ref="AF43:AF47"/>
    <mergeCell ref="AG43:AN43"/>
    <mergeCell ref="AO43:AO47"/>
    <mergeCell ref="AQ9:AQ12"/>
    <mergeCell ref="J7:J12"/>
    <mergeCell ref="R7:R12"/>
    <mergeCell ref="X7:AF7"/>
    <mergeCell ref="AG7:AP7"/>
    <mergeCell ref="S8:S11"/>
    <mergeCell ref="U35:V35"/>
    <mergeCell ref="X35:AE35"/>
    <mergeCell ref="AG35:AN35"/>
    <mergeCell ref="K8:K11"/>
    <mergeCell ref="L9:L10"/>
    <mergeCell ref="AC8:AC11"/>
    <mergeCell ref="AE8:AE11"/>
    <mergeCell ref="AD8:AD11"/>
    <mergeCell ref="AF8:AF11"/>
    <mergeCell ref="AL8:AL11"/>
    <mergeCell ref="AM8:AM11"/>
    <mergeCell ref="AN8:AN11"/>
    <mergeCell ref="AO8:AO11"/>
    <mergeCell ref="U30:AN30"/>
    <mergeCell ref="U31:AN31"/>
    <mergeCell ref="U33:V33"/>
    <mergeCell ref="AL19:AL22"/>
    <mergeCell ref="AM19:AM22"/>
    <mergeCell ref="AN19:AN22"/>
    <mergeCell ref="AO19:AO22"/>
    <mergeCell ref="E2:E17"/>
    <mergeCell ref="X2:AF2"/>
    <mergeCell ref="AG2:AP2"/>
    <mergeCell ref="F3:F16"/>
    <mergeCell ref="X3:AF3"/>
    <mergeCell ref="AG3:AP3"/>
    <mergeCell ref="G4:G15"/>
    <mergeCell ref="X4:AF4"/>
    <mergeCell ref="AG4:AP4"/>
    <mergeCell ref="H5:H14"/>
    <mergeCell ref="X5:AF5"/>
    <mergeCell ref="AG5:AP5"/>
    <mergeCell ref="I6:I13"/>
    <mergeCell ref="Q6:Q13"/>
    <mergeCell ref="X6:AF6"/>
    <mergeCell ref="AG6:AP6"/>
  </mergeCells>
  <dataValidations count="8">
    <dataValidation allowBlank="1" showInputMessage="1" showErrorMessage="1" prompt="Для выбора выполните двойной щелчок левой клавиши мыши по соответствующей ячейке." sqref="AD65592 AD131128 AD196664 AD262200 AD327736 AD393272 AD458808 AD524344 AD589880 AD655416 AD720952 AD786488 AD852024 AD917560 AD983096 AF131128 AF458808 AF196664 AF262200 AF327736 AF393272 AF524344 AF589880 AF655416 AF720952 AF786488 AF852024 AF917560 AF983096 AF65592 AM65592 AM131128 AM196664 AM262200 AM327736 AM393272 AM458808 AM524344 AM589880 AM655416 AM720952 AM786488 AM852024 AM917560 AM983096 AO393272 AO327736 AO524344 AO55 AO589880 AO655416 AO19:AO21 AO720952 AO786488 AO852024 AO917560 AO983096 AO65592 AO131128 AO458808 AF55 AO196664 AF8 AD8 AM55 AM19:AM21 AO262200 AD55 AO8 AM8"/>
    <dataValidation allowBlank="1" promptTitle="checkPeriodRange" sqref="AB65593 AB131129 AB196665 AB262201 AB327737 AB393273 AB458809 AB524345 AB589881 AB655417 AB720953 AB786489 AB852025 AB917561 AB983097 AB10:AB11 AK65593 AK131129 AK196665 AK262201 AK327737 AK393273 AK458809 AK524345 AK589881 AK655417 AK720953 AK786489 AK852025 AK917561 AK983097 AK10:AK11 AK57 AK22 AB57"/>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AC65592 AC131128 AC196664 AC262200 AC327736 AC393272 AC458808 AC524344 AC589880 AC655416 AC720952 AC786488 AC852024 AC917560 AC983096 AE65592 AE131128 AE196664 AE262200 AE327736 AE393272 AE458808 AE524344 AE589880 AE655416 AE720952 AE786488 AE852024 AE917560 AE983096 AN55 AL65592 AL131128 AL196664 AL262200 AL327736 AL393272 AL458808 AL524344 AL589880 AL655416 AL720952 AL786488 AL852024 AL917560 AL983096 AN65592 AN131128 AN196664 AN262200 AN327736 AN393272 AN458808 AN524344 AN589880 AN655416 AN720952 AN786488 AN852024 AN917560 AN983096 AC55 AE55 AL55 AE8 AC8 AL19:AL21 AN19:AN21 AN8 AL8"/>
    <dataValidation type="textLength" operator="lessThanOrEqual" allowBlank="1" showInputMessage="1" showErrorMessage="1" errorTitle="Ошибка" error="Допускается ввод не более 900 символов!" sqref="AQ65586:AQ65593 AQ131122:AQ131129 AQ196658:AQ196665 AQ262194:AQ262201 AQ327730:AQ327737 AQ393266:AQ393273 AQ458802:AQ458809 AQ524338:AQ524345 AQ589874:AQ589881 AQ655410:AQ655417 AQ720946:AQ720953 AQ786482:AQ786489 AQ852018:AQ852025 AQ917554:AQ917561 AQ983090:AQ983097">
      <formula1>900</formula1>
    </dataValidation>
    <dataValidation allowBlank="1" sqref="U131130:AQ131136 U196666:AQ196672 U262202:AQ262208 U327738:AQ327744 U393274:AQ393280 U458810:AQ458816 U524346:AQ524352 U589882:AQ589888 U655418:AQ655424 U720954:AQ720960 U786490:AQ786496 U852026:AQ852032 U917562:AQ917568 U983098:AQ983104 U65594:AQ65600"/>
    <dataValidation type="list" allowBlank="1" showInputMessage="1" errorTitle="Ошибка" error="Выберите значение из списка" prompt="Выберите значение из списка" sqref="X983095:AP983095 X65591:AP65591 X131127:AP131127 X196663:AP196663 X262199:AP262199 X327735:AP327735 X393271:AP393271 X458807:AP458807 X524343:AP524343 X589879:AP589879 X655415:AP655415 X720951:AP720951 X786487:AP786487 X852023:AP852023 X917559:AP917559">
      <formula1>kind_of_cons</formula1>
    </dataValidation>
    <dataValidation type="list" allowBlank="1" showInputMessage="1" showErrorMessage="1" errorTitle="Ошибка" error="Выберите значение из списка" sqref="X983094:Z983094 X65590:Z65590 X131126:Z131126 X196662:Z196662 X262198:Z262198 X327734:Z327734 X393270:Z393270 X458806:Z458806 X524342:Z524342 X589878:Z589878 X655414:Z655414 X720950:Z720950 X786486:Z786486 X852022:Z852022 X917558:Z917558 AG983094:AI983094 AG65590:AI65590 AG131126:AI131126 AG196662:AI196662 AG262198:AI262198 AG327734:AI327734 AG393270:AI393270 AG458806:AI458806 AG524342:AI524342 AG589878:AI589878 AG655414:AI655414 AG720950:AI720950 AG786486:AI786486 AG852022:AI852022 AG917558:AI917558">
      <formula1>kind_of_scheme_in</formula1>
    </dataValidation>
    <dataValidation type="list" allowBlank="1" showInputMessage="1" showErrorMessage="1" errorTitle="Ошибка" error="Выберите значение из списка" sqref="V65592 V131128 V196664 V262200 V327736 V393272 V458808 V524344 V589880 V655416 V720952 V786488 V852024 V917560 V983096">
      <formula1>kind_of_heat_transfer</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dr="http://schemas.openxmlformats.org/drawingml/2006/spreadsheetDrawing" xmlns:x14ac="http://schemas.microsoft.com/office/spreadsheetml/2009/9/ac" xmlns:xr="http://schemas.microsoft.com/office/spreadsheetml/2014/revision" xmlns:xr2="http://schemas.microsoft.com/office/spreadsheetml/2015/revision2" xmlns:xr3="http://schemas.microsoft.com/office/spreadsheetml/2016/revision3" xr:uid="{F175E368-AB7E-14C6-6D3F-911313CCD708}" mc:Ignorable="x14ac xr xr2 xr3">
  <sheetPr>
    <tabColor rgb="FFCCCCFF"/>
  </sheetPr>
  <dimension ref="A1:Q79"/>
  <sheetViews>
    <sheetView topLeftCell="C17" showGridLines="0" zoomScale="90" workbookViewId="0" tabSelected="1">
      <selection activeCell="F37" sqref="F37"/>
    </sheetView>
  </sheetViews>
  <sheetFormatPr defaultColWidth="9.140625" customHeight="1" defaultRowHeight="11.25"/>
  <cols>
    <col min="1" max="1" style="787" width="10.7109375" hidden="1" customWidth="1"/>
    <col min="2" max="2" style="732" width="10.7109375" hidden="1" customWidth="1"/>
    <col min="3" max="3" style="530" width="3.00390625" customWidth="1"/>
    <col min="4" max="4" style="1635" width="1.00390625" customWidth="1"/>
    <col min="5" max="6" style="1635" width="55.00390625" customWidth="1"/>
    <col min="7" max="7" style="2125" width="1.00390625" customWidth="1"/>
    <col min="8" max="8" style="1635" width="18.00390625" hidden="1" customWidth="1"/>
    <col min="9" max="9" style="531" width="59.00390625" customWidth="1"/>
    <col min="10" max="10" style="1366" width="52.140625" hidden="1" customWidth="1"/>
    <col min="11" max="11" style="1635" width="8.00390625" customWidth="1"/>
    <col min="12" max="12" style="1635" width="77.00390625" customWidth="1"/>
    <col min="13" max="16" style="1635" width="8.00390625" customWidth="1"/>
    <col min="17" max="17" style="1635" width="12.00390625" hidden="1" customWidth="1"/>
  </cols>
  <sheetData>
    <row s="622" customFormat="1" customHeight="1" ht="3">
      <c r="A1" s="783"/>
      <c r="B1" s="241"/>
      <c r="F1" s="242" t="s">
        <v>13</v>
      </c>
      <c r="G1" s="411"/>
      <c r="H1" s="71"/>
      <c r="I1" s="411"/>
      <c r="J1" s="871"/>
      <c r="Q1" s="242" t="s">
        <v>14</v>
      </c>
    </row>
    <row s="1632" customFormat="1" customHeight="1" ht="14.25">
      <c r="A2" s="783"/>
      <c r="B2" s="98"/>
      <c r="E2" s="1740" t="str">
        <f>code</f>
        <v>Код отчёта: PP110.OPEN.INFO.QUARTER.HEAT.EIAS</v>
      </c>
      <c r="F2" s="269"/>
      <c r="G2" s="245"/>
      <c r="H2" s="245"/>
      <c r="I2" s="245"/>
      <c r="J2" s="872"/>
      <c r="K2" s="245"/>
      <c r="Q2" s="71">
        <v>14</v>
      </c>
    </row>
    <row customHeight="1" ht="14.699999999999998">
      <c r="E3" s="246" t="str">
        <f>version</f>
        <v>Версия отчёта: 1.1.1</v>
      </c>
      <c r="F3" s="269"/>
      <c r="G3" s="770"/>
      <c r="H3" s="770"/>
      <c r="I3" s="770"/>
      <c r="J3" s="873"/>
      <c r="K3" s="88"/>
      <c r="Q3" s="74">
        <v>14</v>
      </c>
    </row>
    <row s="1612" customFormat="1" customHeight="1" ht="6.3">
      <c r="A4" s="784"/>
      <c r="B4" s="232"/>
      <c r="C4" s="233"/>
      <c r="D4" s="234"/>
      <c r="E4" s="243"/>
      <c r="F4" s="244"/>
      <c r="G4" s="771"/>
      <c r="H4" s="409"/>
      <c r="I4" s="411"/>
      <c r="J4" s="874"/>
      <c r="Q4" s="236">
        <v>6</v>
      </c>
    </row>
    <row customHeight="1" ht="39.75">
      <c r="D5" s="75"/>
      <c r="E5" s="2095" t="str">
        <f>NameTemplatesInTitle</f>
        <v>Информация о наличии (отсутствии) технической возможности подключения к централизованной системе теплоснабжения, а также о регистрации и ходе реализации заявок о подключении к централизованной системе теплоснабжения</v>
      </c>
      <c r="F5" s="2096"/>
      <c r="G5" s="772"/>
      <c r="J5" s="875"/>
      <c r="Q5" s="74">
        <v>38</v>
      </c>
    </row>
    <row s="1612" customFormat="1" customHeight="1" ht="6.3">
      <c r="A6" s="784"/>
      <c r="B6" s="232"/>
      <c r="C6" s="233"/>
      <c r="D6" s="234"/>
      <c r="E6" s="237"/>
      <c r="F6" s="238"/>
      <c r="G6" s="772"/>
      <c r="H6" s="409"/>
      <c r="I6" s="411"/>
      <c r="J6" s="874"/>
      <c r="Q6" s="236">
        <v>6</v>
      </c>
    </row>
    <row customHeight="1" ht="21">
      <c r="D7" s="75"/>
      <c r="E7" s="391" t="s">
        <v>15</v>
      </c>
      <c r="F7" s="215" t="s">
        <v>16</v>
      </c>
      <c r="G7" s="772"/>
      <c r="Q7" s="74">
        <v>20</v>
      </c>
    </row>
    <row s="1612" customFormat="1" customHeight="1" ht="6.3">
      <c r="A8" s="785"/>
      <c r="B8" s="232"/>
      <c r="C8" s="233"/>
      <c r="D8" s="239"/>
      <c r="E8" s="237"/>
      <c r="F8" s="240"/>
      <c r="G8" s="77"/>
      <c r="H8" s="409"/>
      <c r="I8" s="411"/>
      <c r="J8" s="877"/>
      <c r="Q8" s="236">
        <v>6</v>
      </c>
    </row>
    <row s="1635" customFormat="1" customHeight="1" ht="19.5" hidden="1">
      <c r="A9" s="784"/>
      <c r="B9" s="98"/>
      <c r="C9" s="408"/>
      <c r="D9" s="410"/>
      <c r="E9" s="1165" t="s">
        <v>17</v>
      </c>
      <c r="F9" s="1921"/>
      <c r="G9" s="772"/>
      <c r="I9" s="1900" t="str">
        <f>IF(TITLE_STRUCTURE_INFO_ROIV="","","раскрывается "&amp;INDEX(ROIV_INFO_COMMENT,MATCH(TITLE_STRUCTURE_INFO_ROIV,ROIV_INFO_LIST,0)))</f>
        <v/>
      </c>
      <c r="J9" s="876"/>
      <c r="Q9" s="409">
        <v>0</v>
      </c>
    </row>
    <row s="1612" customFormat="1" customHeight="1" ht="24" hidden="1">
      <c r="A10" s="785"/>
      <c r="B10" s="426"/>
      <c r="C10" s="427"/>
      <c r="D10" s="239"/>
      <c r="E10" s="1165" t="s">
        <v>18</v>
      </c>
      <c r="F10" s="2066" t="s">
        <v>19</v>
      </c>
      <c r="G10" s="77"/>
      <c r="H10" s="409"/>
      <c r="I10" s="411"/>
      <c r="J10" s="877"/>
      <c r="Q10" s="430">
        <v>24</v>
      </c>
    </row>
    <row customHeight="1" ht="22.5" hidden="1">
      <c r="A11" s="2098" t="s">
        <v>20</v>
      </c>
      <c r="D11" s="75"/>
      <c r="E11" s="1165" t="s">
        <v>21</v>
      </c>
      <c r="F11" s="1732" t="s">
        <v>22</v>
      </c>
      <c r="G11" s="77"/>
      <c r="H11" s="773" t="s">
        <v>23</v>
      </c>
      <c r="J11" s="876" t="s">
        <v>24</v>
      </c>
      <c r="Q11" s="74">
        <v>0</v>
      </c>
    </row>
    <row customHeight="1" ht="22.5" hidden="1">
      <c r="A12" s="2098"/>
      <c r="D12" s="75"/>
      <c r="E12" s="1165" t="s">
        <v>25</v>
      </c>
      <c r="F12" s="1732"/>
      <c r="G12" s="73"/>
      <c r="J12" s="876" t="s">
        <v>26</v>
      </c>
      <c r="Q12" s="74">
        <v>0</v>
      </c>
    </row>
    <row s="1635" customFormat="1" customHeight="1" ht="22.5" hidden="1">
      <c r="A13" s="788" t="s">
        <v>27</v>
      </c>
      <c r="B13" s="98"/>
      <c r="C13" s="408"/>
      <c r="D13" s="410"/>
      <c r="E13" s="1775" t="s">
        <v>28</v>
      </c>
      <c r="F13" s="1732" t="s">
        <v>22</v>
      </c>
      <c r="G13" s="77"/>
      <c r="H13" s="770"/>
      <c r="I13" s="411"/>
      <c r="J13" s="1776" t="s">
        <v>29</v>
      </c>
      <c r="Q13" s="409">
        <v>0</v>
      </c>
    </row>
    <row s="1635" customFormat="1" customHeight="1" ht="27">
      <c r="A14" s="788" t="s">
        <v>30</v>
      </c>
      <c r="B14" s="98"/>
      <c r="C14" s="408"/>
      <c r="D14" s="410"/>
      <c r="E14" s="1165" t="s">
        <v>31</v>
      </c>
      <c r="F14" s="1767">
        <v>2025</v>
      </c>
      <c r="G14" s="77"/>
      <c r="H14" s="770"/>
      <c r="I14" s="411"/>
      <c r="J14" s="876" t="s">
        <v>32</v>
      </c>
      <c r="Q14" s="409">
        <v>0</v>
      </c>
    </row>
    <row s="1635" customFormat="1" customHeight="1" ht="19.5">
      <c r="A15" s="788" t="s">
        <v>33</v>
      </c>
      <c r="B15" s="98"/>
      <c r="C15" s="408"/>
      <c r="D15" s="410"/>
      <c r="E15" s="1165" t="s">
        <v>34</v>
      </c>
      <c r="F15" s="1767" t="s">
        <v>35</v>
      </c>
      <c r="G15" s="77"/>
      <c r="H15" s="770"/>
      <c r="I15" s="411"/>
      <c r="J15" s="876" t="s">
        <v>36</v>
      </c>
      <c r="Q15" s="409">
        <v>0</v>
      </c>
    </row>
    <row s="1612" customFormat="1" customHeight="1" ht="6.3">
      <c r="A16" s="785"/>
      <c r="B16" s="232"/>
      <c r="C16" s="233"/>
      <c r="D16" s="239"/>
      <c r="E16" s="237"/>
      <c r="F16" s="240"/>
      <c r="G16" s="77"/>
      <c r="H16" s="409"/>
      <c r="I16" s="411"/>
      <c r="J16" s="874"/>
      <c r="Q16" s="236">
        <v>6</v>
      </c>
    </row>
    <row customHeight="1" ht="21">
      <c r="D17" s="75"/>
      <c r="E17" s="391" t="s">
        <v>37</v>
      </c>
      <c r="F17" s="216" t="s">
        <v>38</v>
      </c>
      <c r="G17" s="73"/>
      <c r="H17" s="773" t="s">
        <v>23</v>
      </c>
      <c r="Q17" s="74">
        <v>20</v>
      </c>
    </row>
    <row customHeight="1" ht="25.5" hidden="1">
      <c r="D18" s="75"/>
      <c r="E18" s="1775" t="s">
        <v>39</v>
      </c>
      <c r="F18" s="1733"/>
      <c r="G18" s="73"/>
      <c r="I18" s="774"/>
      <c r="J18" s="2097" t="s">
        <v>40</v>
      </c>
      <c r="Q18" s="74">
        <v>0</v>
      </c>
    </row>
    <row customHeight="1" ht="25.5" hidden="1">
      <c r="D19" s="75"/>
      <c r="E19" s="1165" t="str">
        <f>"Дата периода регулирования, с которой "&amp;IF(TEMPLATE_GROUP="P","вводятся","предлагаются")&amp;" изменения в тарифы"</f>
        <v>Дата периода регулирования, с которой предлагаются изменения в тарифы</v>
      </c>
      <c r="F19" s="1733"/>
      <c r="G19" s="73"/>
      <c r="I19" s="774"/>
      <c r="J19" s="2097"/>
      <c r="Q19" s="74">
        <v>0</v>
      </c>
    </row>
    <row customHeight="1" ht="22.5" hidden="1">
      <c r="D20" s="75"/>
      <c r="E20" s="76"/>
      <c r="F20" s="270" t="str">
        <f>"Первичное "&amp;IF(TEMPLATE_GROUP="P","установление тарифов","предложение по тарифам")</f>
        <v>Первичное предложение по тарифам</v>
      </c>
      <c r="G20" s="73"/>
      <c r="I20" s="394"/>
      <c r="J20" s="875" t="s">
        <v>41</v>
      </c>
      <c r="Q20" s="74">
        <v>0</v>
      </c>
    </row>
    <row customHeight="1" ht="19.5" hidden="1">
      <c r="D21" s="75"/>
      <c r="E21" s="391" t="str">
        <f>"Дата "&amp;IF(TEMPLATE_GROUP="P","документа","подачи заявления")&amp;" об утверждении тарифов"</f>
        <v>Дата подачи заявления об утверждении тарифов</v>
      </c>
      <c r="F21" s="1732"/>
      <c r="G21" s="73"/>
      <c r="I21" s="775"/>
      <c r="Q21" s="74">
        <v>0</v>
      </c>
    </row>
    <row customHeight="1" ht="19.5" hidden="1">
      <c r="D22" s="75"/>
      <c r="E22" s="391" t="str">
        <f>"Номер "&amp;IF(TEMPLATE_GROUP="P","документа","подачи заявления")&amp;" об утверждении тарифов"</f>
        <v>Номер подачи заявления об утверждении тарифов</v>
      </c>
      <c r="F22" s="216"/>
      <c r="G22" s="73"/>
      <c r="I22" s="775"/>
      <c r="Q22" s="74">
        <v>0</v>
      </c>
    </row>
    <row customHeight="1" ht="22.5" hidden="1">
      <c r="D23" s="75"/>
      <c r="E23" s="391" t="s">
        <v>42</v>
      </c>
      <c r="F23" s="216"/>
      <c r="G23" s="73"/>
      <c r="Q23" s="74">
        <v>0</v>
      </c>
    </row>
    <row customHeight="1" ht="19.5" hidden="1">
      <c r="D24" s="75"/>
      <c r="E24" s="391" t="s">
        <v>43</v>
      </c>
      <c r="F24" s="216"/>
      <c r="G24" s="73"/>
      <c r="Q24" s="74">
        <v>0</v>
      </c>
    </row>
    <row customHeight="1" ht="22.5" hidden="1">
      <c r="D25" s="75"/>
      <c r="E25" s="76"/>
      <c r="F25" s="270" t="str">
        <f>"Изменение "&amp;IF(TEMPLATE_GROUP="P","тарифов","предложения по тарифам")</f>
        <v>Изменение предложения по тарифам</v>
      </c>
      <c r="G25" s="73"/>
      <c r="J25" s="875" t="s">
        <v>44</v>
      </c>
      <c r="Q25" s="74">
        <v>0</v>
      </c>
    </row>
    <row customHeight="1" ht="19.5" hidden="1">
      <c r="D26" s="75"/>
      <c r="E26" s="391" t="str">
        <f>"Дата "&amp;IF(TEMPLATE_GROUP="P","принятия решения","подачи заявления")&amp;" об изменении тарифов"</f>
        <v>Дата подачи заявления об изменении тарифов</v>
      </c>
      <c r="F26" s="1733"/>
      <c r="G26" s="73"/>
      <c r="Q26" s="74">
        <v>0</v>
      </c>
    </row>
    <row customHeight="1" ht="19.5" hidden="1">
      <c r="D27" s="75"/>
      <c r="E27" s="1165" t="str">
        <f>"Номер "&amp;IF(TEMPLATE_GROUP="P","принятия решения","заявления")&amp;" об изменении тарифов"</f>
        <v>Номер заявления об изменении тарифов</v>
      </c>
      <c r="F27" s="218"/>
      <c r="G27" s="73"/>
      <c r="Q27" s="74">
        <v>0</v>
      </c>
    </row>
    <row customHeight="1" ht="24.75" hidden="1">
      <c r="D28" s="75"/>
      <c r="E28" s="391" t="s">
        <v>45</v>
      </c>
      <c r="F28" s="218"/>
      <c r="G28" s="73"/>
      <c r="Q28" s="74">
        <v>0</v>
      </c>
    </row>
    <row customHeight="1" ht="19.5" hidden="1">
      <c r="D29" s="75"/>
      <c r="E29" s="391" t="s">
        <v>43</v>
      </c>
      <c r="F29" s="218"/>
      <c r="G29" s="73"/>
      <c r="Q29" s="74">
        <v>0</v>
      </c>
    </row>
    <row s="1612" customFormat="1" customHeight="1" ht="6.3">
      <c r="A30" s="785"/>
      <c r="B30" s="232"/>
      <c r="C30" s="233"/>
      <c r="D30" s="239"/>
      <c r="E30" s="237"/>
      <c r="F30" s="240"/>
      <c r="G30" s="77"/>
      <c r="H30" s="409"/>
      <c r="I30" s="411"/>
      <c r="J30" s="874"/>
      <c r="Q30" s="236">
        <v>6</v>
      </c>
    </row>
    <row customHeight="1" ht="21">
      <c r="C31" s="78"/>
      <c r="D31" s="79"/>
      <c r="E31" s="391" t="str">
        <f>"Наименование "&amp;IF(TEMPLATE_GROUP="ROIV","органа тарифного регулирования","ЮЛ / ИП")</f>
        <v>Наименование ЮЛ / ИП</v>
      </c>
      <c r="F31" s="217" t="s">
        <v>46</v>
      </c>
      <c r="G31" s="776"/>
      <c r="Q31" s="74">
        <v>20</v>
      </c>
    </row>
    <row customHeight="1" ht="21" hidden="1">
      <c r="C32" s="78"/>
      <c r="D32" s="79"/>
      <c r="E32" s="392" t="s">
        <v>47</v>
      </c>
      <c r="F32" s="217"/>
      <c r="G32" s="776"/>
      <c r="Q32" s="74">
        <v>20</v>
      </c>
    </row>
    <row customHeight="1" ht="21">
      <c r="C33" s="78"/>
      <c r="D33" s="79"/>
      <c r="E33" s="391" t="s">
        <v>48</v>
      </c>
      <c r="F33" s="217" t="s">
        <v>49</v>
      </c>
      <c r="G33" s="776"/>
      <c r="Q33" s="74">
        <v>20</v>
      </c>
    </row>
    <row customHeight="1" ht="21">
      <c r="C34" s="78"/>
      <c r="D34" s="79"/>
      <c r="E34" s="391" t="s">
        <v>50</v>
      </c>
      <c r="F34" s="217" t="s">
        <v>51</v>
      </c>
      <c r="G34" s="776"/>
      <c r="H34" s="80"/>
      <c r="Q34" s="74">
        <v>20</v>
      </c>
    </row>
    <row s="1612" customFormat="1" customHeight="1" ht="11.549999999999999">
      <c r="A35" s="785"/>
      <c r="B35" s="232"/>
      <c r="C35" s="233"/>
      <c r="D35" s="239"/>
      <c r="E35" s="237"/>
      <c r="F35" s="240"/>
      <c r="G35" s="77"/>
      <c r="H35" s="409"/>
      <c r="I35" s="411"/>
      <c r="J35" s="874"/>
      <c r="Q35" s="236">
        <v>11</v>
      </c>
    </row>
    <row customHeight="1" ht="19.5">
      <c r="A36" s="879"/>
      <c r="D36" s="79"/>
      <c r="E36" s="391" t="s">
        <v>52</v>
      </c>
      <c r="F36" s="1210" t="s">
        <v>53</v>
      </c>
      <c r="G36" s="77"/>
      <c r="Q36" s="74">
        <v>0</v>
      </c>
    </row>
    <row customHeight="1" ht="21">
      <c r="A37" s="879"/>
      <c r="D37" s="79"/>
      <c r="E37" s="391" t="s">
        <v>54</v>
      </c>
      <c r="F37" s="1210" t="s">
        <v>55</v>
      </c>
      <c r="G37" s="77"/>
      <c r="Q37" s="74">
        <v>20</v>
      </c>
    </row>
    <row s="1612" customFormat="1" customHeight="1" ht="6.3">
      <c r="A38" s="785"/>
      <c r="B38" s="232"/>
      <c r="C38" s="233"/>
      <c r="D38" s="234"/>
      <c r="E38" s="235"/>
      <c r="F38" s="1053"/>
      <c r="G38" s="73"/>
      <c r="H38" s="409"/>
      <c r="I38" s="411"/>
      <c r="J38" s="876"/>
      <c r="Q38" s="236">
        <v>6</v>
      </c>
    </row>
    <row customHeight="1" ht="36.75">
      <c r="A39" s="785"/>
      <c r="D39" s="75"/>
      <c r="E39" s="391" t="s">
        <v>56</v>
      </c>
      <c r="F39" s="710" t="s">
        <v>19</v>
      </c>
      <c r="G39" s="73"/>
      <c r="H39" s="773" t="s">
        <v>23</v>
      </c>
      <c r="Q39" s="74">
        <v>35</v>
      </c>
    </row>
    <row s="1612" customFormat="1" customHeight="1" ht="6.3" hidden="1">
      <c r="A40" s="784"/>
      <c r="B40" s="426"/>
      <c r="C40" s="427"/>
      <c r="D40" s="428"/>
      <c r="E40" s="429"/>
      <c r="F40" s="1053"/>
      <c r="G40" s="73"/>
      <c r="H40" s="409"/>
      <c r="I40" s="411"/>
      <c r="J40" s="876"/>
      <c r="Q40" s="430">
        <v>6</v>
      </c>
    </row>
    <row s="1635" customFormat="1" customHeight="1" ht="26.25" hidden="1">
      <c r="A41" s="788" t="s">
        <v>27</v>
      </c>
      <c r="B41" s="413"/>
      <c r="C41" s="408"/>
      <c r="D41" s="410"/>
      <c r="E41" s="391" t="str">
        <f>"Дифференциация информации по централизованным системам  "&amp;TEMPLATE_SPHERE_RUS</f>
        <v>Дифференциация информации по централизованным системам  теплоснабжения</v>
      </c>
      <c r="F41" s="710" t="s">
        <v>19</v>
      </c>
      <c r="G41" s="73"/>
      <c r="I41" s="411"/>
      <c r="J41" s="876"/>
      <c r="Q41" s="409">
        <v>0</v>
      </c>
    </row>
    <row s="1612" customFormat="1" customHeight="1" ht="6" hidden="1">
      <c r="A42" s="784"/>
      <c r="B42" s="426"/>
      <c r="C42" s="427"/>
      <c r="D42" s="428"/>
      <c r="E42" s="429"/>
      <c r="F42" s="1053"/>
      <c r="G42" s="73"/>
      <c r="H42" s="409"/>
      <c r="I42" s="411"/>
      <c r="J42" s="874"/>
      <c r="Q42" s="430">
        <v>0</v>
      </c>
    </row>
    <row s="1635" customFormat="1" customHeight="1" ht="27" hidden="1">
      <c r="A43" s="784"/>
      <c r="B43" s="413"/>
      <c r="C43" s="408"/>
      <c r="D43" s="410"/>
      <c r="E43" s="391" t="s">
        <v>57</v>
      </c>
      <c r="F43" s="710" t="s">
        <v>19</v>
      </c>
      <c r="G43" s="73"/>
      <c r="I43" s="411"/>
      <c r="J43" s="876"/>
      <c r="Q43" s="409">
        <v>0</v>
      </c>
    </row>
    <row s="1635" customFormat="1" customHeight="1" ht="27" hidden="1">
      <c r="A44" s="784"/>
      <c r="B44" s="413"/>
      <c r="C44" s="408"/>
      <c r="D44" s="410"/>
      <c r="E44" s="1165" t="s">
        <v>58</v>
      </c>
      <c r="F44" s="1888"/>
      <c r="G44" s="73"/>
      <c r="I44" s="411"/>
      <c r="J44" s="876"/>
      <c r="Q44" s="409">
        <v>0</v>
      </c>
    </row>
    <row s="1612" customFormat="1" customHeight="1" ht="6" hidden="1">
      <c r="A45" s="784"/>
      <c r="B45" s="426"/>
      <c r="C45" s="427"/>
      <c r="D45" s="428"/>
      <c r="E45" s="429"/>
      <c r="F45" s="1053"/>
      <c r="G45" s="73"/>
      <c r="H45" s="409"/>
      <c r="I45" s="411"/>
      <c r="J45" s="876"/>
      <c r="Q45" s="430">
        <v>0</v>
      </c>
    </row>
    <row s="1612" customFormat="1" customHeight="1" ht="24.75" hidden="1">
      <c r="A46" s="784"/>
      <c r="B46" s="426"/>
      <c r="C46" s="427"/>
      <c r="D46" s="428"/>
      <c r="E46" s="1165" t="s">
        <v>59</v>
      </c>
      <c r="F46" s="710" t="s">
        <v>19</v>
      </c>
      <c r="G46" s="73"/>
      <c r="H46" s="409"/>
      <c r="I46" s="411"/>
      <c r="J46" s="876"/>
      <c r="Q46" s="430">
        <v>0</v>
      </c>
    </row>
    <row s="1635" customFormat="1" customHeight="1" ht="24.75" hidden="1">
      <c r="A47" s="784"/>
      <c r="B47" s="413"/>
      <c r="C47" s="408"/>
      <c r="D47" s="410"/>
      <c r="E47" s="1165" t="s">
        <v>60</v>
      </c>
      <c r="F47" s="710" t="s">
        <v>19</v>
      </c>
      <c r="G47" s="73"/>
      <c r="I47" s="411"/>
      <c r="J47" s="876"/>
      <c r="Q47" s="409">
        <v>0</v>
      </c>
    </row>
    <row s="1612" customFormat="1" customHeight="1" ht="6" hidden="1">
      <c r="A48" s="784"/>
      <c r="B48" s="232"/>
      <c r="C48" s="233"/>
      <c r="D48" s="234"/>
      <c r="E48" s="235"/>
      <c r="F48" s="1053"/>
      <c r="G48" s="73"/>
      <c r="H48" s="409"/>
      <c r="I48" s="411"/>
      <c r="J48" s="876"/>
      <c r="Q48" s="236">
        <v>0</v>
      </c>
    </row>
    <row customHeight="1" ht="29.25" hidden="1">
      <c r="B49" s="148"/>
      <c r="D49" s="75"/>
      <c r="E49" s="391" t="str">
        <f>"Организация осуществляет подключение (технологическое присоединение) к системе "&amp;TEMPLATE_SPHERE_RUS</f>
        <v>Организация осуществляет подключение (технологическое присоединение) к системе теплоснабжения</v>
      </c>
      <c r="F49" s="710"/>
      <c r="G49" s="73"/>
      <c r="Q49" s="74">
        <v>0</v>
      </c>
    </row>
    <row s="1612" customFormat="1" customHeight="1" ht="6" hidden="1">
      <c r="A50" s="785"/>
      <c r="B50" s="426"/>
      <c r="C50" s="427"/>
      <c r="D50" s="239"/>
      <c r="E50" s="237"/>
      <c r="F50" s="240"/>
      <c r="G50" s="77"/>
      <c r="H50" s="409"/>
      <c r="I50" s="411"/>
      <c r="J50" s="876"/>
      <c r="Q50" s="430">
        <v>0</v>
      </c>
    </row>
    <row s="1635" customFormat="1" customHeight="1" ht="28.5" hidden="1">
      <c r="A51" s="786"/>
      <c r="B51" s="413"/>
      <c r="C51" s="530"/>
      <c r="D51" s="531"/>
      <c r="E51" s="391" t="s">
        <v>61</v>
      </c>
      <c r="F51" s="710" t="s">
        <v>19</v>
      </c>
      <c r="G51" s="532"/>
      <c r="I51" s="534"/>
      <c r="J51" s="878"/>
      <c r="P51" s="535"/>
      <c r="Q51" s="533">
        <v>0</v>
      </c>
    </row>
    <row s="1612" customFormat="1" customHeight="1" ht="6" hidden="1">
      <c r="A52" s="785"/>
      <c r="B52" s="426"/>
      <c r="C52" s="427"/>
      <c r="D52" s="239"/>
      <c r="E52" s="237"/>
      <c r="F52" s="240"/>
      <c r="G52" s="77"/>
      <c r="H52" s="409"/>
      <c r="I52" s="411"/>
      <c r="J52" s="874"/>
      <c r="Q52" s="430">
        <v>0</v>
      </c>
    </row>
    <row s="1635" customFormat="1" customHeight="1" ht="27" hidden="1">
      <c r="A53" s="786"/>
      <c r="B53" s="413"/>
      <c r="C53" s="530"/>
      <c r="D53" s="531"/>
      <c r="E53" s="391" t="s">
        <v>62</v>
      </c>
      <c r="F53" s="1048" t="s">
        <v>19</v>
      </c>
      <c r="G53" s="532"/>
      <c r="I53" s="534"/>
      <c r="J53" s="878"/>
      <c r="P53" s="535"/>
      <c r="Q53" s="533">
        <v>0</v>
      </c>
    </row>
    <row s="1635" customFormat="1" customHeight="1" ht="27" hidden="1">
      <c r="A54" s="786"/>
      <c r="B54" s="413"/>
      <c r="C54" s="530"/>
      <c r="D54" s="531"/>
      <c r="E54" s="391" t="s">
        <v>63</v>
      </c>
      <c r="F54" s="1774"/>
      <c r="G54" s="532"/>
      <c r="I54" s="534"/>
      <c r="J54" s="878"/>
      <c r="P54" s="535"/>
      <c r="Q54" s="533">
        <v>0</v>
      </c>
    </row>
    <row s="1612" customFormat="1" customHeight="1" ht="6" hidden="1">
      <c r="A55" s="785"/>
      <c r="B55" s="426"/>
      <c r="C55" s="427"/>
      <c r="D55" s="239"/>
      <c r="E55" s="237"/>
      <c r="F55" s="240"/>
      <c r="G55" s="77"/>
      <c r="H55" s="409"/>
      <c r="I55" s="411"/>
      <c r="J55" s="874"/>
      <c r="Q55" s="430">
        <v>0</v>
      </c>
    </row>
    <row s="1635" customFormat="1" customHeight="1" ht="25.5" hidden="1">
      <c r="A56" s="786"/>
      <c r="B56" s="413"/>
      <c r="C56" s="530"/>
      <c r="D56" s="531"/>
      <c r="E56" s="391" t="s">
        <v>64</v>
      </c>
      <c r="F56" s="1048" t="s">
        <v>19</v>
      </c>
      <c r="G56" s="532"/>
      <c r="I56" s="534"/>
      <c r="J56" s="878"/>
      <c r="P56" s="535"/>
      <c r="Q56" s="533">
        <v>0</v>
      </c>
    </row>
    <row s="1612" customFormat="1" customHeight="1" ht="6" hidden="1">
      <c r="A57" s="785"/>
      <c r="B57" s="426"/>
      <c r="C57" s="427"/>
      <c r="D57" s="239"/>
      <c r="E57" s="237"/>
      <c r="F57" s="240"/>
      <c r="G57" s="77"/>
      <c r="H57" s="409"/>
      <c r="I57" s="411"/>
      <c r="J57" s="874"/>
      <c r="Q57" s="430">
        <v>0</v>
      </c>
    </row>
    <row s="1635" customFormat="1" customHeight="1" ht="15" hidden="1">
      <c r="A58" s="786"/>
      <c r="B58" s="413"/>
      <c r="C58" s="530"/>
      <c r="D58" s="531"/>
      <c r="E58" s="391" t="s">
        <v>65</v>
      </c>
      <c r="F58" s="1048" t="s">
        <v>66</v>
      </c>
      <c r="G58" s="532"/>
      <c r="I58" s="534"/>
      <c r="J58" s="878"/>
      <c r="P58" s="535"/>
      <c r="Q58" s="533">
        <v>0</v>
      </c>
    </row>
    <row s="1635" customFormat="1" customHeight="1" ht="75" hidden="1">
      <c r="A59" s="786"/>
      <c r="B59" s="413"/>
      <c r="C59" s="530"/>
      <c r="D59" s="531"/>
      <c r="E59" s="391" t="str">
        <f>"Инвестиционная программа относится к деятельности, при осуществлении которой расчеты за товары (услуги) в сфере  "&amp;TEMPLATE_SPHERE_RUS&amp;" осуществляются по регулируемым ценам (тарифам) (за исключением деятельности по подключению (технологическому присоединению) к системе  "&amp;TEMPLATE_SPHERE_RUS&amp;")"</f>
        <v>Инвестиционная программа относится к деятельности, при осуществлении которой расчеты за товары (услуги) в сфере  теплоснабжения осуществляются по регулируемым ценам (тарифам) (за исключением деятельности по подключению (технологическому присоединению) к системе  теплоснабжения)</v>
      </c>
      <c r="F59" s="1189"/>
      <c r="G59" s="532"/>
      <c r="I59" s="534"/>
      <c r="J59" s="878"/>
      <c r="P59" s="535"/>
      <c r="Q59" s="533">
        <v>0</v>
      </c>
    </row>
    <row s="1635" customFormat="1" customHeight="1" ht="15" hidden="1">
      <c r="A60" s="786"/>
      <c r="B60" s="413"/>
      <c r="C60" s="530"/>
      <c r="D60" s="531"/>
      <c r="E60" s="1165" t="s">
        <v>67</v>
      </c>
      <c r="F60" s="1151"/>
      <c r="G60" s="532"/>
      <c r="I60" s="534"/>
      <c r="J60" s="878"/>
      <c r="P60" s="535"/>
      <c r="Q60" s="533">
        <v>0</v>
      </c>
    </row>
    <row s="1612" customFormat="1" customHeight="1" ht="6" hidden="1">
      <c r="A61" s="785"/>
      <c r="B61" s="426"/>
      <c r="C61" s="427"/>
      <c r="D61" s="428"/>
      <c r="E61" s="429"/>
      <c r="F61" s="1053"/>
      <c r="G61" s="73"/>
      <c r="H61" s="409"/>
      <c r="I61" s="411"/>
      <c r="J61" s="876"/>
      <c r="Q61" s="430">
        <v>0</v>
      </c>
    </row>
    <row s="1635" customFormat="1" customHeight="1" ht="33.75" hidden="1">
      <c r="A62" s="785"/>
      <c r="B62" s="98"/>
      <c r="C62" s="408"/>
      <c r="D62" s="410"/>
      <c r="E62" s="1165" t="s">
        <v>68</v>
      </c>
      <c r="F62" s="1671" t="s">
        <v>66</v>
      </c>
      <c r="G62" s="73"/>
      <c r="H62" s="773" t="s">
        <v>23</v>
      </c>
      <c r="I62" s="411"/>
      <c r="J62" s="876"/>
      <c r="Q62" s="409">
        <v>0</v>
      </c>
    </row>
    <row s="1612" customFormat="1" customHeight="1" ht="6.3">
      <c r="A63" s="785"/>
      <c r="B63" s="232"/>
      <c r="C63" s="233"/>
      <c r="D63" s="239"/>
      <c r="E63" s="237"/>
      <c r="F63" s="240"/>
      <c r="G63" s="77"/>
      <c r="H63" s="409"/>
      <c r="I63" s="411"/>
      <c r="J63" s="874"/>
      <c r="Q63" s="236">
        <v>6</v>
      </c>
    </row>
    <row customHeight="1" ht="21">
      <c r="A64" s="787"/>
      <c r="B64" s="99"/>
      <c r="D64" s="82"/>
      <c r="E64" s="391" t="s">
        <v>69</v>
      </c>
      <c r="F64" s="216" t="s">
        <v>70</v>
      </c>
      <c r="G64" s="77"/>
      <c r="Q64" s="74">
        <v>20</v>
      </c>
    </row>
    <row customHeight="1" ht="21">
      <c r="A65" s="787"/>
      <c r="B65" s="99"/>
      <c r="D65" s="82"/>
      <c r="E65" s="391" t="s">
        <v>71</v>
      </c>
      <c r="F65" s="216" t="s">
        <v>72</v>
      </c>
      <c r="G65" s="77"/>
      <c r="Q65" s="74">
        <v>20</v>
      </c>
    </row>
    <row customHeight="1" ht="36.75">
      <c r="D66" s="75"/>
      <c r="E66" s="393" t="s">
        <v>73</v>
      </c>
      <c r="F66" s="1054"/>
      <c r="G66" s="73"/>
      <c r="Q66" s="74">
        <v>35</v>
      </c>
    </row>
    <row customHeight="1" ht="21">
      <c r="A67" s="787"/>
      <c r="D67" s="410"/>
      <c r="E67" s="391" t="s">
        <v>74</v>
      </c>
      <c r="F67" s="271" t="s">
        <v>75</v>
      </c>
      <c r="G67" s="77"/>
      <c r="Q67" s="74">
        <v>20</v>
      </c>
    </row>
    <row customHeight="1" ht="21">
      <c r="A68" s="787"/>
      <c r="B68" s="99"/>
      <c r="D68" s="82"/>
      <c r="E68" s="391" t="s">
        <v>76</v>
      </c>
      <c r="F68" s="271" t="s">
        <v>77</v>
      </c>
      <c r="G68" s="77"/>
      <c r="Q68" s="74">
        <v>20</v>
      </c>
    </row>
    <row customHeight="1" ht="21">
      <c r="A69" s="787"/>
      <c r="B69" s="99"/>
      <c r="D69" s="82"/>
      <c r="E69" s="391" t="s">
        <v>78</v>
      </c>
      <c r="F69" s="271" t="s">
        <v>79</v>
      </c>
      <c r="G69" s="77"/>
      <c r="Q69" s="74">
        <v>20</v>
      </c>
    </row>
    <row customHeight="1" ht="21">
      <c r="D70" s="410"/>
      <c r="E70" s="391" t="s">
        <v>80</v>
      </c>
      <c r="F70" s="271" t="s">
        <v>81</v>
      </c>
      <c r="G70" s="73"/>
      <c r="Q70" s="74">
        <v>20</v>
      </c>
    </row>
    <row customHeight="1" ht="21">
      <c r="A71" s="787"/>
      <c r="D71" s="73"/>
      <c r="F71" s="133"/>
      <c r="G71" s="77"/>
      <c r="Q71" s="74">
        <v>20</v>
      </c>
    </row>
    <row customHeight="1" ht="21">
      <c r="A72" s="787"/>
      <c r="B72" s="99"/>
      <c r="D72" s="82"/>
      <c r="E72" s="81"/>
      <c r="F72" s="1033" t="s">
        <v>13</v>
      </c>
      <c r="G72" s="77"/>
      <c r="Q72" s="74">
        <v>20</v>
      </c>
    </row>
    <row customHeight="1" ht="21">
      <c r="A73" s="787"/>
      <c r="B73" s="99"/>
      <c r="D73" s="82"/>
      <c r="E73" s="81"/>
      <c r="F73" s="134"/>
      <c r="G73" s="77"/>
      <c r="Q73" s="74">
        <v>20</v>
      </c>
    </row>
    <row customHeight="1" ht="21">
      <c r="A74" s="787"/>
      <c r="B74" s="99"/>
      <c r="D74" s="82"/>
      <c r="E74" s="86"/>
      <c r="F74" s="134"/>
      <c r="G74" s="77"/>
      <c r="Q74" s="74">
        <v>20</v>
      </c>
    </row>
    <row customHeight="1" ht="21">
      <c r="A75" s="787"/>
      <c r="B75" s="99"/>
      <c r="D75" s="82"/>
      <c r="E75" s="81"/>
      <c r="F75" s="134"/>
      <c r="G75" s="77"/>
      <c r="Q75" s="74">
        <v>20</v>
      </c>
    </row>
    <row customHeight="1" ht="11.549999999999999">
      <c r="Q76" s="74">
        <v>11</v>
      </c>
    </row>
    <row customHeight="1" ht="11.549999999999999">
      <c r="Q77" s="74">
        <v>11</v>
      </c>
    </row>
    <row customHeight="1" ht="11.549999999999999">
      <c r="E78" s="390"/>
      <c r="F78" s="390"/>
      <c r="G78" s="390"/>
      <c r="H78" s="390"/>
      <c r="I78" s="390"/>
      <c r="Q78" s="74">
        <v>11</v>
      </c>
    </row>
    <row customHeight="1" ht="11.25" hidden="1">
      <c r="A79" s="784" t="s">
        <v>82</v>
      </c>
      <c r="B79" s="98">
        <v>0</v>
      </c>
      <c r="C79" s="72">
        <v>3</v>
      </c>
      <c r="D79" s="74">
        <v>1</v>
      </c>
      <c r="E79" s="74">
        <v>55</v>
      </c>
      <c r="F79" s="74">
        <v>54</v>
      </c>
      <c r="G79" s="771">
        <v>1</v>
      </c>
      <c r="H79" s="409">
        <v>0</v>
      </c>
      <c r="I79" s="411">
        <v>59</v>
      </c>
      <c r="J79" s="876">
        <v>0</v>
      </c>
      <c r="K79" s="74">
        <v>8</v>
      </c>
      <c r="L79" s="74">
        <v>77</v>
      </c>
      <c r="M79" s="74">
        <v>8</v>
      </c>
      <c r="N79" s="74">
        <v>8</v>
      </c>
      <c r="O79" s="74">
        <v>8</v>
      </c>
      <c r="P79" s="74">
        <v>8</v>
      </c>
      <c r="Q79" s="74">
        <v>11</v>
      </c>
    </row>
  </sheetData>
  <sheetProtection formatColumns="0" formatRows="0" sort="0" autoFilter="0" insertRows="0" insertColumns="1" deleteRows="0" deleteColumns="0"/>
  <mergeCells count="3">
    <mergeCell ref="E5:F5"/>
    <mergeCell ref="J18:J19"/>
    <mergeCell ref="A11:A12"/>
  </mergeCells>
  <dataValidations count="13">
    <dataValidation type="textLength" operator="lessThanOrEqual" allowBlank="1" showInputMessage="1" showErrorMessage="1" errorTitle="Ошибка" error="Допускается ввод не более 900 символов!" sqref="F72:F75 F64:F65 F67:F70 F22:F24 F27:F29 F32">
      <formula1>900</formula1>
    </dataValidation>
    <dataValidation type="list" allowBlank="1" showInputMessage="1" showErrorMessage="1" errorTitle="Ошибка" error="Выберите значение из списка" prompt="Выберите значение из списка" sqref="F61 F38">
      <formula1>kind_of_NDS</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F26 F21 F18:F19 F11:F13"/>
    <dataValidation type="list" allowBlank="1" showInputMessage="1" showErrorMessage="1" errorTitle="Ошибка" error="Выберите значение из списка" prompt="Выберите значение из списка" sqref="F17">
      <formula1>kind_of_data_type</formula1>
    </dataValidation>
    <dataValidation allowBlank="1" showInputMessage="1" showErrorMessage="1" prompt="Для выбора выполните двойной щелчок левой клавиши мыши по соответствующей ячейке." sqref="F49 F53 F56 F58 F51 F39:F41 F43 F45:F47 F62 F10"/>
    <dataValidation type="list" allowBlank="1" showInputMessage="1" showErrorMessage="1" errorTitle="Ошибка" error="Выберите значение из списка" prompt="Выберите значение из списка" sqref="F36">
      <formula1>kind_of_org_type</formula1>
    </dataValidation>
    <dataValidation type="list" allowBlank="1" showInputMessage="1" showErrorMessage="1" errorTitle="Ошибка" error="Выберите значение из списка" prompt="Выберите значение из списка" sqref="F14">
      <formula1>year_list</formula1>
    </dataValidation>
    <dataValidation type="list" allowBlank="1" showInputMessage="1" showErrorMessage="1" errorTitle="Ошибка" error="Выберите значение из списка" prompt="Выберите значение из списка" sqref="F15">
      <formula1>QUARTER</formula1>
    </dataValidation>
    <dataValidation allowBlank="1" showInputMessage="1" showErrorMessage="1" prompt="Выберите значение из календаря (иконка справа от выбранной ячейки), либо введите дату непосредственно в ячейку в формате - 'ДД.ММ.ГГГГ'" sqref="F54"/>
    <dataValidation type="list" allowBlank="1" showInputMessage="1" showErrorMessage="1" errorTitle="Ошибка" error="Выберите значение из списка" prompt="Выберите значение из списка" sqref="F60">
      <formula1>TITLE_IP_DETAILED_METHOD_LIST</formula1>
    </dataValidation>
    <dataValidation type="list" allowBlank="1" showInputMessage="1" showErrorMessage="1" errorTitle="Ошибка" error="Выберите значение из списка" prompt="Выберите значение из списка" sqref="F9">
      <formula1>ROIV_INFO_LIST</formula1>
    </dataValidation>
    <dataValidation allowBlank="1" showInputMessage="1" showErrorMessage="1" prompt="Выбор организации двойным щелчком левой клавиши мыши" sqref="F31"/>
    <dataValidation type="list" allowBlank="1" showInputMessage="1" showErrorMessage="1" errorTitle="Ошибка" error="Выберите значение из списка" prompt="Выберите значение из списка:_x000A_ОСН - Общая система налогообложения_x000A_УСН - Упрощённая система налогообложения_x000A_ЕСХН - Единый сельскохозяйственный налог_x000A_ПСН - Патентная система налогообложения_x000A_НПД - Налог на профессиональный доход" sqref="F37">
      <formula1>kind_of_NDS</formula1>
    </dataValidation>
  </dataValidations>
  <hyperlinks>
    <hyperlink ref="H11" location="Титульный!H9" display="Как заполнить?" tooltip="Помощь по работе с полями отчётной формы" xr:uid="{0C53AFFE-52AF-DE33-D81F-CDDB1B0EB26A}"/>
    <hyperlink ref="H17" location="Титульный!H9" display="Как заполнить?" tooltip="Помощь по работе с полями отчётной формы" xr:uid="{E55286E3-2956-0D88-2B2F-2D03CED75FBC}"/>
    <hyperlink ref="H39" location="Титульный!H9" display="Как заполнить?" tooltip="Помощь по работе с полями отчётной формы" xr:uid="{031B0F89-836B-EB77-4CEF-7C5F57A1D1E1}"/>
    <hyperlink ref="H62" location="Титульный!H9" display="Как заполнить?" tooltip="Помощь по работе с полями отчётной формы" xr:uid="{6DD14FEF-CDA1-9BF7-86FC-8DFC5158DE0F}"/>
  </hyperlinks>
  <pageMargins left="0.75" right="0.75" top="1.00" bottom="1.00" header="0.50" footer="0.50"/>
  <pageSetup paperSize="8" pageOrder="downThenOver" orientation="portrait"/>
  <headerFooter>
    <oddHeader>&amp;L&amp;C&amp;R</oddHeader>
    <oddFooter>&amp;L&amp;C&amp;R</oddFooter>
    <evenHeader>&amp;L&amp;C&amp;R</evenHeader>
    <evenFooter>&amp;L&amp;C&amp;R</evenFooter>
  </headerFooter>
  <drawing r:id="rId3"/>
  <legacyDrawing r:id="rId2"/>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A3160E3-02BC-6889-2E06-.E7542AEE72F}" mc:Ignorable="x14ac xr xr2 xr3">
  <sheetPr>
    <tabColor theme="6" tint="0.4"/>
  </sheetPr>
  <dimension ref="A1:BA70"/>
  <sheetViews>
    <sheetView showGridLines="0" zoomScale="90" workbookViewId="0">
      <pane xSplit="27" ySplit="44" topLeftCell="AB45" activePane="bottomRight" state="frozen"/>
      <selection pane="bottomLeft" activeCell="A45" sqref="A45"/>
      <selection pane="topRight" activeCell="AB1" sqref="AB1"/>
      <selection pane="bottomRight" activeCell="A1" sqref="A1"/>
    </sheetView>
  </sheetViews>
  <sheetFormatPr defaultColWidth="10.57421875" customHeight="1" defaultRowHeight="14.25"/>
  <cols>
    <col min="1" max="1" style="1366" width="10.57421875" hidden="1"/>
    <col min="2" max="2" style="1366" width="11.00390625" hidden="1" customWidth="1"/>
    <col min="3" max="3" style="1366" width="10.57421875" hidden="1"/>
    <col min="4" max="4" style="1366" width="11.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2.00390625" hidden="1" customWidth="1"/>
    <col min="10" max="10" style="1366" width="9.8515625" hidden="1" customWidth="1"/>
    <col min="11" max="11" style="1366" width="11.421875" hidden="1" customWidth="1"/>
    <col min="12" max="12" style="2607" width="19.140625" hidden="1" customWidth="1"/>
    <col min="13" max="14" style="1776" width="12.28125" hidden="1" customWidth="1"/>
    <col min="15" max="15" style="1776" width="23.421875" hidden="1" customWidth="1"/>
    <col min="16" max="16" style="1776" width="3.00390625" customWidth="1"/>
    <col min="17" max="17" style="1371" width="3.00390625" customWidth="1"/>
    <col min="18" max="18" style="344" width="3.00390625" customWidth="1"/>
    <col min="19" max="19" style="2407" width="12.00390625" customWidth="1"/>
    <col min="20" max="20" style="1635" width="31.00390625" customWidth="1"/>
    <col min="21" max="21" style="1635" width="0.140625" customWidth="1"/>
    <col min="22" max="23" style="1635" width="21.7109375" hidden="1" customWidth="1"/>
    <col min="24" max="24" style="1635" width="11.7109375" hidden="1" customWidth="1"/>
    <col min="25" max="25" style="1635" width="3.7109375" hidden="1" customWidth="1"/>
    <col min="26" max="26" style="1635" width="11.7109375" hidden="1" customWidth="1"/>
    <col min="27" max="27" style="1635" width="8.57421875" hidden="1" customWidth="1"/>
    <col min="28" max="28" style="1635" width="5.421875" customWidth="1"/>
    <col min="29" max="30" style="1635" width="3.00390625" customWidth="1"/>
    <col min="31" max="31" style="1635" width="24.00390625" customWidth="1"/>
    <col min="32" max="32" style="1635" width="3.7109375" customWidth="1"/>
    <col min="33" max="34" style="1635" width="3.00390625" customWidth="1"/>
    <col min="35" max="35" style="1635" width="24.00390625" customWidth="1"/>
    <col min="36" max="36" style="1635" width="3.7109375" customWidth="1"/>
    <col min="37" max="38" style="1635" width="3.00390625" customWidth="1"/>
    <col min="39" max="39" style="1635" width="18.00390625" customWidth="1"/>
    <col min="40" max="41" style="1635" width="21.00390625" customWidth="1"/>
    <col min="42" max="42" style="1635" width="11.00390625" customWidth="1"/>
    <col min="43" max="43" style="1635" width="3.7109375" customWidth="1"/>
    <col min="44" max="44" style="1635" width="11.00390625" customWidth="1"/>
    <col min="45" max="45" style="1635" width="8.57421875" hidden="1" customWidth="1"/>
    <col min="46" max="46" style="1635" width="4.00390625" customWidth="1"/>
    <col min="47" max="47" style="1635" width="115.00390625" customWidth="1"/>
    <col min="48" max="52" style="1642" width="10.00390625" customWidth="1"/>
    <col min="53" max="53" style="1635" width="10.57421875" hidden="1"/>
  </cols>
  <sheetData>
    <row customHeight="1" ht="22.5" hidden="1">
      <c r="W1" s="327"/>
      <c r="X1" s="327"/>
      <c r="AO1" s="327"/>
      <c r="AP1" s="327"/>
      <c r="BA1" s="1155" t="s">
        <v>14</v>
      </c>
    </row>
    <row customHeight="1" ht="21" hidden="1">
      <c r="A2" s="1363"/>
      <c r="B2" s="1363"/>
      <c r="C2" s="1363"/>
      <c r="D2" s="1363"/>
      <c r="E2" s="2258">
        <v>1</v>
      </c>
      <c r="F2" s="1363"/>
      <c r="G2" s="1363"/>
      <c r="H2" s="1363"/>
      <c r="I2" s="1363"/>
      <c r="J2" s="1363"/>
      <c r="K2" s="1363"/>
      <c r="L2" s="1364"/>
      <c r="M2" s="1365"/>
      <c r="N2" s="1365"/>
      <c r="O2" s="1365"/>
      <c r="P2" s="1409"/>
      <c r="Q2" s="873"/>
      <c r="R2" s="355"/>
      <c r="S2" s="1336">
        <f>INDEX(PT_DIFFERENTIATION_NUM_NTAR,MATCH(A2,PT_DIFFERENTIATION_NTAR_ID,0))</f>
      </c>
      <c r="T2" s="298" t="s">
        <v>127</v>
      </c>
      <c r="U2" s="300"/>
      <c r="V2" s="2243"/>
      <c r="W2" s="2243"/>
      <c r="X2" s="2243"/>
      <c r="Y2" s="2243"/>
      <c r="Z2" s="2243"/>
      <c r="AA2" s="2244"/>
      <c r="AB2" s="2242">
        <f>INDEX(PT_DIFFERENTIATION_NTAR,MATCH(A2,PT_DIFFERENTIATION_NTAR_ID,0))</f>
      </c>
      <c r="AC2" s="2243"/>
      <c r="AD2" s="2243"/>
      <c r="AE2" s="2243"/>
      <c r="AF2" s="2243"/>
      <c r="AG2" s="2243"/>
      <c r="AH2" s="2243"/>
      <c r="AI2" s="2243"/>
      <c r="AJ2" s="2243"/>
      <c r="AK2" s="2243"/>
      <c r="AL2" s="2243"/>
      <c r="AM2" s="2243"/>
      <c r="AN2" s="2243"/>
      <c r="AO2" s="2243"/>
      <c r="AP2" s="2243"/>
      <c r="AQ2" s="2243"/>
      <c r="AR2" s="2243"/>
      <c r="AS2" s="2243"/>
      <c r="AT2" s="2244"/>
      <c r="AU2" s="1258" t="s">
        <v>398</v>
      </c>
      <c r="AW2" s="500"/>
      <c r="AX2" s="500" t="str">
        <f>IF(T2="","",T2)</f>
        <v>Наименование тарифа</v>
      </c>
      <c r="AY2" s="500"/>
      <c r="AZ2" s="500"/>
      <c r="BA2" s="1155">
        <v>0</v>
      </c>
    </row>
    <row customHeight="1" ht="21" hidden="1">
      <c r="A3" s="1363"/>
      <c r="B3" s="1363"/>
      <c r="C3" s="1363"/>
      <c r="D3" s="1363"/>
      <c r="E3" s="2259"/>
      <c r="F3" s="2258">
        <v>1</v>
      </c>
      <c r="G3" s="1363"/>
      <c r="H3" s="1363"/>
      <c r="I3" s="1363"/>
      <c r="J3" s="1363"/>
      <c r="K3" s="1363"/>
      <c r="L3" s="1364"/>
      <c r="M3" s="1365"/>
      <c r="N3" s="1365"/>
      <c r="O3" s="1365"/>
      <c r="P3" s="1410"/>
      <c r="Q3" s="1411"/>
      <c r="R3" s="353"/>
      <c r="S3" s="1336">
        <f>INDEX(PT_DIFFERENTIATION_NUM_TER,MATCH(B3,PT_DIFFERENTIATION_TER_ID,0))</f>
      </c>
      <c r="T3" s="308" t="s">
        <v>399</v>
      </c>
      <c r="U3" s="300"/>
      <c r="V3" s="2243"/>
      <c r="W3" s="2243"/>
      <c r="X3" s="2243"/>
      <c r="Y3" s="2243"/>
      <c r="Z3" s="2243"/>
      <c r="AA3" s="2244"/>
      <c r="AB3" s="2242">
        <f>INDEX(PT_DIFFERENTIATION_TER,MATCH(B3,PT_DIFFERENTIATION_TER_ID,0))</f>
      </c>
      <c r="AC3" s="2243"/>
      <c r="AD3" s="2243"/>
      <c r="AE3" s="2243"/>
      <c r="AF3" s="2243"/>
      <c r="AG3" s="2243"/>
      <c r="AH3" s="2243"/>
      <c r="AI3" s="2243"/>
      <c r="AJ3" s="2243"/>
      <c r="AK3" s="2243"/>
      <c r="AL3" s="2243"/>
      <c r="AM3" s="2243"/>
      <c r="AN3" s="2243"/>
      <c r="AO3" s="2243"/>
      <c r="AP3" s="2243"/>
      <c r="AQ3" s="2243"/>
      <c r="AR3" s="2243"/>
      <c r="AS3" s="2243"/>
      <c r="AT3" s="2244"/>
      <c r="AU3" s="1258" t="s">
        <v>400</v>
      </c>
      <c r="AW3" s="500"/>
      <c r="AX3" s="500" t="str">
        <f>IF(T3="","",T3)</f>
        <v>Территория действия тарифа</v>
      </c>
      <c r="AY3" s="500"/>
      <c r="AZ3" s="500"/>
      <c r="BA3" s="1155">
        <v>0</v>
      </c>
    </row>
    <row customHeight="1" ht="22.5" hidden="1">
      <c r="A4" s="1363"/>
      <c r="B4" s="1363"/>
      <c r="C4" s="1363"/>
      <c r="D4" s="1363"/>
      <c r="E4" s="2259"/>
      <c r="F4" s="2259"/>
      <c r="G4" s="2258">
        <v>1</v>
      </c>
      <c r="H4" s="1363"/>
      <c r="I4" s="1363"/>
      <c r="J4" s="1363"/>
      <c r="K4" s="1363"/>
      <c r="L4" s="1364"/>
      <c r="M4" s="1365"/>
      <c r="N4" s="1365"/>
      <c r="O4" s="1365"/>
      <c r="P4" s="1412"/>
      <c r="Q4" s="1411"/>
      <c r="R4" s="353"/>
      <c r="S4" s="1336">
        <f>INDEX(PT_DIFFERENTIATION_NUM_CS,MATCH(C4,PT_DIFFERENTIATION_CS_ID,0))</f>
      </c>
      <c r="T4" s="309" t="s">
        <v>401</v>
      </c>
      <c r="U4" s="300"/>
      <c r="V4" s="2243"/>
      <c r="W4" s="2243"/>
      <c r="X4" s="2243"/>
      <c r="Y4" s="2243"/>
      <c r="Z4" s="2243"/>
      <c r="AA4" s="2244"/>
      <c r="AB4" s="2242">
        <f>INDEX(PT_DIFFERENTIATION_CS,MATCH(C4,PT_DIFFERENTIATION_CS_ID,0))</f>
      </c>
      <c r="AC4" s="2243"/>
      <c r="AD4" s="2243"/>
      <c r="AE4" s="2243"/>
      <c r="AF4" s="2243"/>
      <c r="AG4" s="2243"/>
      <c r="AH4" s="2243"/>
      <c r="AI4" s="2243"/>
      <c r="AJ4" s="2243"/>
      <c r="AK4" s="2243"/>
      <c r="AL4" s="2243"/>
      <c r="AM4" s="2243"/>
      <c r="AN4" s="2243"/>
      <c r="AO4" s="2243"/>
      <c r="AP4" s="2243"/>
      <c r="AQ4" s="2243"/>
      <c r="AR4" s="2243"/>
      <c r="AS4" s="2243"/>
      <c r="AT4" s="2244"/>
      <c r="AU4" s="1258" t="s">
        <v>402</v>
      </c>
      <c r="AW4" s="500"/>
      <c r="AX4" s="500" t="str">
        <f>IF(T4="","",T4)</f>
        <v>Наименование системы теплоснабжения </v>
      </c>
      <c r="AY4" s="500"/>
      <c r="AZ4" s="500"/>
      <c r="BA4" s="1155">
        <v>0</v>
      </c>
    </row>
    <row customHeight="1" ht="21" hidden="1">
      <c r="A5" s="1363"/>
      <c r="B5" s="1363"/>
      <c r="C5" s="1363"/>
      <c r="D5" s="1363"/>
      <c r="E5" s="2259"/>
      <c r="F5" s="2259"/>
      <c r="G5" s="2259"/>
      <c r="H5" s="2258">
        <v>1</v>
      </c>
      <c r="I5" s="1363"/>
      <c r="J5" s="1363"/>
      <c r="K5" s="1363"/>
      <c r="L5" s="1364"/>
      <c r="M5" s="1365"/>
      <c r="N5" s="1365"/>
      <c r="O5" s="1365"/>
      <c r="P5" s="1412"/>
      <c r="Q5" s="1411"/>
      <c r="R5" s="353"/>
      <c r="S5" s="1336">
        <f>INDEX(PT_DIFFERENTIATION_NUM_IST_TE,MATCH(D5,PT_DIFFERENTIATION_IST_TE_ID,0))</f>
      </c>
      <c r="T5" s="310" t="s">
        <v>403</v>
      </c>
      <c r="U5" s="300"/>
      <c r="V5" s="2243"/>
      <c r="W5" s="2243"/>
      <c r="X5" s="2243"/>
      <c r="Y5" s="2243"/>
      <c r="Z5" s="2243"/>
      <c r="AA5" s="2244"/>
      <c r="AB5" s="2242">
        <f>INDEX(PT_DIFFERENTIATION_IST_TE,MATCH(D5,PT_DIFFERENTIATION_IST_TE_ID,0))</f>
      </c>
      <c r="AC5" s="2243"/>
      <c r="AD5" s="2243"/>
      <c r="AE5" s="2243"/>
      <c r="AF5" s="2243"/>
      <c r="AG5" s="2243"/>
      <c r="AH5" s="2243"/>
      <c r="AI5" s="2243"/>
      <c r="AJ5" s="2243"/>
      <c r="AK5" s="2243"/>
      <c r="AL5" s="2243"/>
      <c r="AM5" s="2243"/>
      <c r="AN5" s="2243"/>
      <c r="AO5" s="2243"/>
      <c r="AP5" s="2243"/>
      <c r="AQ5" s="2243"/>
      <c r="AR5" s="2243"/>
      <c r="AS5" s="2243"/>
      <c r="AT5" s="2244"/>
      <c r="AU5" s="1258" t="s">
        <v>404</v>
      </c>
      <c r="AW5" s="500"/>
      <c r="AX5" s="500" t="str">
        <f>IF(T5="","",T5)</f>
        <v>Источник тепловой энергии  </v>
      </c>
      <c r="AY5" s="500"/>
      <c r="AZ5" s="500"/>
      <c r="BA5" s="1155">
        <v>0</v>
      </c>
    </row>
    <row s="1642" customFormat="1" customHeight="1" ht="0.75" hidden="1">
      <c r="A6" s="1343"/>
      <c r="B6" s="1343"/>
      <c r="C6" s="1343"/>
      <c r="D6" s="1343"/>
      <c r="E6" s="2259"/>
      <c r="F6" s="2259"/>
      <c r="G6" s="2259"/>
      <c r="H6" s="2259"/>
      <c r="I6" s="2256">
        <f>S5&amp;".1"</f>
      </c>
      <c r="J6" s="1343"/>
      <c r="K6" s="1343"/>
      <c r="L6" s="1346" t="s">
        <v>405</v>
      </c>
      <c r="M6" s="510"/>
      <c r="N6" s="510"/>
      <c r="O6" s="510"/>
      <c r="P6" s="2257">
        <v>1</v>
      </c>
      <c r="Q6" s="1331"/>
      <c r="R6" s="356"/>
      <c r="S6" s="1042"/>
      <c r="T6" s="1383"/>
      <c r="U6" s="1384"/>
      <c r="V6" s="2297"/>
      <c r="W6" s="2297"/>
      <c r="X6" s="2297"/>
      <c r="Y6" s="2297"/>
      <c r="Z6" s="2297"/>
      <c r="AA6" s="2298"/>
      <c r="AB6" s="2296"/>
      <c r="AC6" s="2297"/>
      <c r="AD6" s="2297"/>
      <c r="AE6" s="2297"/>
      <c r="AF6" s="2297"/>
      <c r="AG6" s="2297"/>
      <c r="AH6" s="2297"/>
      <c r="AI6" s="2297"/>
      <c r="AJ6" s="2297"/>
      <c r="AK6" s="2297"/>
      <c r="AL6" s="2297"/>
      <c r="AM6" s="2297"/>
      <c r="AN6" s="2297"/>
      <c r="AO6" s="2297"/>
      <c r="AP6" s="2297"/>
      <c r="AQ6" s="2297"/>
      <c r="AR6" s="2297"/>
      <c r="AS6" s="2297"/>
      <c r="AT6" s="2298"/>
      <c r="AU6" s="1385"/>
      <c r="AW6" s="500"/>
      <c r="AX6" s="500" t="str">
        <f>IF(T6="","",T6)</f>
        <v/>
      </c>
      <c r="AY6" s="500"/>
      <c r="AZ6" s="500"/>
      <c r="BA6" s="511">
        <v>0</v>
      </c>
    </row>
    <row s="1642" customFormat="1" customHeight="1" ht="0.75" hidden="1">
      <c r="A7" s="1343"/>
      <c r="B7" s="1343"/>
      <c r="C7" s="1343"/>
      <c r="D7" s="1343"/>
      <c r="E7" s="2259"/>
      <c r="F7" s="2259"/>
      <c r="G7" s="2259"/>
      <c r="H7" s="2259"/>
      <c r="I7" s="2286"/>
      <c r="J7" s="2256">
        <f>S5&amp;".1"</f>
      </c>
      <c r="K7" s="1343"/>
      <c r="L7" s="1346"/>
      <c r="M7" s="510"/>
      <c r="N7" s="510"/>
      <c r="O7" s="510"/>
      <c r="P7" s="2257"/>
      <c r="Q7" s="2257">
        <v>1</v>
      </c>
      <c r="R7" s="357"/>
      <c r="S7" s="1042"/>
      <c r="T7" s="1399"/>
      <c r="U7" s="1384"/>
      <c r="V7" s="2297"/>
      <c r="W7" s="2297"/>
      <c r="X7" s="2297"/>
      <c r="Y7" s="2297"/>
      <c r="Z7" s="2297"/>
      <c r="AA7" s="2298"/>
      <c r="AB7" s="2296"/>
      <c r="AC7" s="2297"/>
      <c r="AD7" s="2297"/>
      <c r="AE7" s="2297"/>
      <c r="AF7" s="2297"/>
      <c r="AG7" s="2297"/>
      <c r="AH7" s="2297"/>
      <c r="AI7" s="2297"/>
      <c r="AJ7" s="2297"/>
      <c r="AK7" s="2297"/>
      <c r="AL7" s="2297"/>
      <c r="AM7" s="2297"/>
      <c r="AN7" s="2297"/>
      <c r="AO7" s="2297"/>
      <c r="AP7" s="2297"/>
      <c r="AQ7" s="2297"/>
      <c r="AR7" s="2297"/>
      <c r="AS7" s="2297"/>
      <c r="AT7" s="2298"/>
      <c r="AU7" s="1385"/>
      <c r="AW7" s="500"/>
      <c r="AX7" s="500" t="str">
        <f>IF(T7="","",T7)</f>
        <v/>
      </c>
      <c r="AY7" s="500"/>
      <c r="AZ7" s="500"/>
      <c r="BA7" s="511">
        <v>0</v>
      </c>
    </row>
    <row customHeight="1" ht="21" hidden="1">
      <c r="A8" s="1363"/>
      <c r="B8" s="1363"/>
      <c r="C8" s="1363"/>
      <c r="D8" s="1363"/>
      <c r="E8" s="2259"/>
      <c r="F8" s="2259"/>
      <c r="G8" s="2259"/>
      <c r="H8" s="2259"/>
      <c r="I8" s="2286"/>
      <c r="J8" s="2286"/>
      <c r="K8" s="2256">
        <f>S5&amp;".1"</f>
      </c>
      <c r="L8" s="1364"/>
      <c r="P8" s="2257"/>
      <c r="Q8" s="2257"/>
      <c r="R8" s="2347">
        <v>1</v>
      </c>
      <c r="S8" s="2341">
        <f>$K8</f>
      </c>
      <c r="T8" s="2344"/>
      <c r="U8" s="300"/>
      <c r="V8" s="751"/>
      <c r="W8" s="1257"/>
      <c r="X8" s="2265"/>
      <c r="Y8" s="2107" t="s">
        <v>66</v>
      </c>
      <c r="Z8" s="2265"/>
      <c r="AA8" s="2107" t="s">
        <v>66</v>
      </c>
      <c r="AB8" s="2107" t="s">
        <v>19</v>
      </c>
      <c r="AC8" s="2326"/>
      <c r="AD8" s="2205">
        <v>1</v>
      </c>
      <c r="AE8" s="2327"/>
      <c r="AF8" s="2107" t="s">
        <v>19</v>
      </c>
      <c r="AG8" s="2326"/>
      <c r="AH8" s="2205">
        <v>1</v>
      </c>
      <c r="AI8" s="2327"/>
      <c r="AJ8" s="2107" t="s">
        <v>19</v>
      </c>
      <c r="AK8" s="311"/>
      <c r="AL8" s="1337">
        <v>1</v>
      </c>
      <c r="AM8" s="1398"/>
      <c r="AN8" s="751"/>
      <c r="AO8" s="1257"/>
      <c r="AP8" s="1734"/>
      <c r="AQ8" s="1459" t="s">
        <v>66</v>
      </c>
      <c r="AR8" s="1734"/>
      <c r="AS8" s="1459" t="s">
        <v>66</v>
      </c>
      <c r="AT8" s="1348"/>
      <c r="AU8" s="2253" t="s">
        <v>466</v>
      </c>
      <c r="AV8" s="511">
        <f>STRCHECKDATE(V11:AT11)</f>
      </c>
      <c r="AW8" s="500"/>
      <c r="AX8" s="500" t="str">
        <f>IF(T8="","",T8)</f>
        <v/>
      </c>
      <c r="AY8" s="500"/>
      <c r="AZ8" s="500"/>
      <c r="BA8" s="1155">
        <v>0</v>
      </c>
    </row>
    <row customHeight="1" ht="11.25" hidden="1">
      <c r="A9" s="1363"/>
      <c r="B9" s="1363"/>
      <c r="C9" s="1363"/>
      <c r="D9" s="1363"/>
      <c r="E9" s="2259"/>
      <c r="F9" s="2259"/>
      <c r="G9" s="2259"/>
      <c r="H9" s="2259"/>
      <c r="I9" s="2286"/>
      <c r="J9" s="2286"/>
      <c r="K9" s="2256"/>
      <c r="L9" s="1364"/>
      <c r="P9" s="2257"/>
      <c r="Q9" s="2257"/>
      <c r="R9" s="2347"/>
      <c r="S9" s="2342"/>
      <c r="T9" s="2345"/>
      <c r="U9" s="300"/>
      <c r="V9" s="1393"/>
      <c r="W9" s="1397"/>
      <c r="X9" s="2265"/>
      <c r="Y9" s="2107"/>
      <c r="Z9" s="2265"/>
      <c r="AA9" s="2107"/>
      <c r="AB9" s="2107"/>
      <c r="AC9" s="2326"/>
      <c r="AD9" s="2205"/>
      <c r="AE9" s="2327"/>
      <c r="AF9" s="2107"/>
      <c r="AG9" s="2326"/>
      <c r="AH9" s="2205"/>
      <c r="AI9" s="2327"/>
      <c r="AJ9" s="2107"/>
      <c r="AK9" s="316"/>
      <c r="AL9" s="416"/>
      <c r="AM9" s="415" t="s">
        <v>467</v>
      </c>
      <c r="AN9" s="1393"/>
      <c r="AO9" s="1496"/>
      <c r="AP9" s="1393"/>
      <c r="AQ9" s="1393"/>
      <c r="AR9" s="1393"/>
      <c r="AS9" s="1393"/>
      <c r="AT9" s="1390"/>
      <c r="AU9" s="2254"/>
      <c r="AW9" s="500"/>
      <c r="AX9" s="500"/>
      <c r="AY9" s="500"/>
      <c r="AZ9" s="500"/>
      <c r="BA9" s="1155">
        <v>0</v>
      </c>
    </row>
    <row customHeight="1" ht="11.25" hidden="1">
      <c r="A10" s="1363"/>
      <c r="B10" s="1363"/>
      <c r="C10" s="1363"/>
      <c r="D10" s="1363"/>
      <c r="E10" s="2259"/>
      <c r="F10" s="2259"/>
      <c r="G10" s="2259"/>
      <c r="H10" s="2259"/>
      <c r="I10" s="2286"/>
      <c r="J10" s="2286"/>
      <c r="K10" s="2256"/>
      <c r="L10" s="1364"/>
      <c r="P10" s="2257"/>
      <c r="Q10" s="2257"/>
      <c r="R10" s="2347"/>
      <c r="S10" s="2342"/>
      <c r="T10" s="2345"/>
      <c r="U10" s="300"/>
      <c r="V10" s="1393"/>
      <c r="W10" s="1397"/>
      <c r="X10" s="2265"/>
      <c r="Y10" s="2107"/>
      <c r="Z10" s="2265"/>
      <c r="AA10" s="2107"/>
      <c r="AB10" s="2107"/>
      <c r="AC10" s="2326"/>
      <c r="AD10" s="2205"/>
      <c r="AE10" s="2327"/>
      <c r="AF10" s="2107"/>
      <c r="AG10" s="294"/>
      <c r="AH10" s="415"/>
      <c r="AI10" s="415" t="s">
        <v>468</v>
      </c>
      <c r="AJ10" s="1393"/>
      <c r="AK10" s="1393"/>
      <c r="AL10" s="1393"/>
      <c r="AM10" s="1393"/>
      <c r="AN10" s="1393"/>
      <c r="AO10" s="1496"/>
      <c r="AP10" s="1393"/>
      <c r="AQ10" s="1393"/>
      <c r="AR10" s="1393"/>
      <c r="AS10" s="1393"/>
      <c r="AT10" s="1390"/>
      <c r="AU10" s="2254"/>
      <c r="AW10" s="500"/>
      <c r="AX10" s="500"/>
      <c r="AY10" s="500"/>
      <c r="AZ10" s="500"/>
      <c r="BA10" s="1155">
        <v>0</v>
      </c>
    </row>
    <row customHeight="1" ht="11.25" hidden="1">
      <c r="A11" s="1363"/>
      <c r="B11" s="1363"/>
      <c r="C11" s="1363"/>
      <c r="D11" s="1363"/>
      <c r="E11" s="2259"/>
      <c r="F11" s="2259"/>
      <c r="G11" s="2259"/>
      <c r="H11" s="2259"/>
      <c r="I11" s="2286"/>
      <c r="J11" s="2286"/>
      <c r="K11" s="2256"/>
      <c r="L11" s="1364"/>
      <c r="P11" s="2257"/>
      <c r="Q11" s="2257"/>
      <c r="R11" s="2347"/>
      <c r="S11" s="2343"/>
      <c r="T11" s="2346"/>
      <c r="U11" s="300"/>
      <c r="V11" s="1393"/>
      <c r="W11" s="1396" t="str">
        <f>X8&amp;"-"&amp;Z8</f>
        <v>-</v>
      </c>
      <c r="X11" s="2266"/>
      <c r="Y11" s="2107"/>
      <c r="Z11" s="2266"/>
      <c r="AA11" s="2107"/>
      <c r="AB11" s="2107"/>
      <c r="AC11" s="312"/>
      <c r="AD11" s="314"/>
      <c r="AE11" s="415" t="s">
        <v>469</v>
      </c>
      <c r="AF11" s="1393"/>
      <c r="AG11" s="1393"/>
      <c r="AH11" s="1393"/>
      <c r="AI11" s="1393"/>
      <c r="AJ11" s="1393"/>
      <c r="AK11" s="1393"/>
      <c r="AL11" s="1393"/>
      <c r="AM11" s="1393"/>
      <c r="AN11" s="1393"/>
      <c r="AO11" s="1394" t="str">
        <f>AP8&amp;"-"&amp;AR8</f>
        <v>-</v>
      </c>
      <c r="AP11" s="1393"/>
      <c r="AQ11" s="1393"/>
      <c r="AR11" s="1393"/>
      <c r="AS11" s="1393"/>
      <c r="AT11" s="1349"/>
      <c r="AU11" s="2254"/>
      <c r="AW11" s="500"/>
      <c r="AX11" s="500" t="str">
        <f>IF(T11="","",T11)</f>
        <v/>
      </c>
      <c r="AY11" s="500"/>
      <c r="AZ11" s="500"/>
      <c r="BA11" s="1155">
        <v>0</v>
      </c>
    </row>
    <row customHeight="1" ht="11.25" hidden="1">
      <c r="A12" s="1363"/>
      <c r="B12" s="1363"/>
      <c r="C12" s="1363"/>
      <c r="D12" s="1363"/>
      <c r="E12" s="2259"/>
      <c r="F12" s="2259"/>
      <c r="G12" s="2259"/>
      <c r="H12" s="2259"/>
      <c r="I12" s="2286"/>
      <c r="J12" s="2256"/>
      <c r="K12" s="1363"/>
      <c r="L12" s="1364"/>
      <c r="P12" s="2257"/>
      <c r="Q12" s="2257"/>
      <c r="R12" s="356"/>
      <c r="S12" s="1278"/>
      <c r="T12" s="287" t="s">
        <v>470</v>
      </c>
      <c r="U12" s="367"/>
      <c r="V12" s="367"/>
      <c r="W12" s="367"/>
      <c r="X12" s="367"/>
      <c r="Y12" s="367"/>
      <c r="Z12" s="367"/>
      <c r="AA12" s="367"/>
      <c r="AB12" s="367"/>
      <c r="AC12" s="367"/>
      <c r="AD12" s="367"/>
      <c r="AE12" s="367"/>
      <c r="AF12" s="367"/>
      <c r="AG12" s="367"/>
      <c r="AH12" s="367"/>
      <c r="AI12" s="367"/>
      <c r="AJ12" s="367"/>
      <c r="AK12" s="367"/>
      <c r="AL12" s="367"/>
      <c r="AM12" s="367"/>
      <c r="AN12" s="367"/>
      <c r="AO12" s="367"/>
      <c r="AP12" s="367"/>
      <c r="AQ12" s="367"/>
      <c r="AR12" s="367"/>
      <c r="AS12" s="367"/>
      <c r="AT12" s="324"/>
      <c r="AU12" s="2255"/>
      <c r="AW12" s="500"/>
      <c r="AX12" s="500" t="str">
        <f>IF(T12="","",T12)</f>
        <v>Добавить строку</v>
      </c>
      <c r="AY12" s="500"/>
      <c r="AZ12" s="500"/>
      <c r="BA12" s="1155">
        <v>0</v>
      </c>
    </row>
    <row s="1642" customFormat="1" customHeight="1" ht="0.75" hidden="1">
      <c r="A13" s="1343"/>
      <c r="B13" s="1343"/>
      <c r="C13" s="1343"/>
      <c r="D13" s="1343"/>
      <c r="E13" s="2259"/>
      <c r="F13" s="2259"/>
      <c r="G13" s="2259"/>
      <c r="H13" s="2259"/>
      <c r="I13" s="2256"/>
      <c r="J13" s="1343"/>
      <c r="K13" s="1343"/>
      <c r="L13" s="1346"/>
      <c r="M13" s="510"/>
      <c r="N13" s="510"/>
      <c r="O13" s="510"/>
      <c r="P13" s="2257"/>
      <c r="Q13" s="1331"/>
      <c r="R13" s="356"/>
      <c r="S13" s="1386"/>
      <c r="T13" s="1387"/>
      <c r="U13" s="1388"/>
      <c r="V13" s="1388"/>
      <c r="W13" s="1388"/>
      <c r="X13" s="1388"/>
      <c r="Y13" s="1388"/>
      <c r="Z13" s="1388"/>
      <c r="AA13" s="1388"/>
      <c r="AB13" s="1388"/>
      <c r="AC13" s="1388"/>
      <c r="AD13" s="1388"/>
      <c r="AE13" s="1388"/>
      <c r="AF13" s="1388"/>
      <c r="AG13" s="1388"/>
      <c r="AH13" s="1388"/>
      <c r="AI13" s="1388"/>
      <c r="AJ13" s="1388"/>
      <c r="AK13" s="1388"/>
      <c r="AL13" s="1388"/>
      <c r="AM13" s="1388"/>
      <c r="AN13" s="1388"/>
      <c r="AO13" s="1388"/>
      <c r="AP13" s="1388"/>
      <c r="AQ13" s="1388"/>
      <c r="AR13" s="1388"/>
      <c r="AS13" s="1388"/>
      <c r="AT13" s="1388"/>
      <c r="AU13" s="1389"/>
      <c r="AW13" s="500"/>
      <c r="AX13" s="500" t="str">
        <f>IF(T13="","",T13)</f>
        <v/>
      </c>
      <c r="AY13" s="500"/>
      <c r="AZ13" s="500"/>
      <c r="BA13" s="511">
        <v>0</v>
      </c>
    </row>
    <row s="1642" customFormat="1" customHeight="1" ht="0.75" hidden="1">
      <c r="A14" s="1343"/>
      <c r="B14" s="1343"/>
      <c r="C14" s="1343"/>
      <c r="D14" s="1343"/>
      <c r="E14" s="2259"/>
      <c r="F14" s="2259"/>
      <c r="G14" s="2259"/>
      <c r="H14" s="2258"/>
      <c r="I14" s="1343"/>
      <c r="J14" s="1343"/>
      <c r="K14" s="1343"/>
      <c r="L14" s="1346"/>
      <c r="M14" s="1315"/>
      <c r="N14" s="1315"/>
      <c r="O14" s="518"/>
      <c r="P14" s="380"/>
      <c r="Q14" s="1344"/>
      <c r="R14" s="1401"/>
      <c r="S14" s="1386"/>
      <c r="T14" s="1387"/>
      <c r="U14" s="1388"/>
      <c r="V14" s="1388"/>
      <c r="W14" s="1388"/>
      <c r="X14" s="1388"/>
      <c r="Y14" s="1388"/>
      <c r="Z14" s="1388"/>
      <c r="AA14" s="1388"/>
      <c r="AB14" s="1388"/>
      <c r="AC14" s="1388"/>
      <c r="AD14" s="1388"/>
      <c r="AE14" s="1388"/>
      <c r="AF14" s="1388"/>
      <c r="AG14" s="1388"/>
      <c r="AH14" s="1388"/>
      <c r="AI14" s="1388"/>
      <c r="AJ14" s="1388"/>
      <c r="AK14" s="1388"/>
      <c r="AL14" s="1388"/>
      <c r="AM14" s="1388"/>
      <c r="AN14" s="1388"/>
      <c r="AO14" s="1388"/>
      <c r="AP14" s="1388"/>
      <c r="AQ14" s="1388"/>
      <c r="AR14" s="1388"/>
      <c r="AS14" s="1388"/>
      <c r="AT14" s="1388"/>
      <c r="AU14" s="1389"/>
      <c r="AW14" s="500"/>
      <c r="AX14" s="500" t="str">
        <f>IF(T14="","",T14)</f>
        <v/>
      </c>
      <c r="AY14" s="500"/>
      <c r="AZ14" s="500"/>
      <c r="BA14" s="511">
        <v>0</v>
      </c>
    </row>
    <row s="1642" customFormat="1" customHeight="1" ht="0.75" hidden="1">
      <c r="A15" s="1343"/>
      <c r="B15" s="1343"/>
      <c r="C15" s="1343"/>
      <c r="D15" s="1314"/>
      <c r="E15" s="2259"/>
      <c r="F15" s="2259"/>
      <c r="G15" s="2258"/>
      <c r="H15" s="1314"/>
      <c r="I15" s="1314"/>
      <c r="J15" s="1314"/>
      <c r="K15" s="1314"/>
      <c r="L15" s="1339"/>
      <c r="M15" s="1315"/>
      <c r="N15" s="1315"/>
      <c r="P15" s="1316"/>
      <c r="Q15" s="1317"/>
      <c r="R15" s="1316"/>
      <c r="S15" s="1322"/>
      <c r="T15" s="1325" t="s">
        <v>416</v>
      </c>
      <c r="U15" s="1324"/>
      <c r="V15" s="1324"/>
      <c r="W15" s="1324"/>
      <c r="X15" s="1324"/>
      <c r="Y15" s="1324"/>
      <c r="Z15" s="1324"/>
      <c r="AA15" s="1324"/>
      <c r="AB15" s="1324"/>
      <c r="AC15" s="1324"/>
      <c r="AD15" s="1324"/>
      <c r="AE15" s="1324"/>
      <c r="AF15" s="1324"/>
      <c r="AG15" s="1324"/>
      <c r="AH15" s="1324"/>
      <c r="AI15" s="1324"/>
      <c r="AJ15" s="1324"/>
      <c r="AK15" s="1324"/>
      <c r="AL15" s="1324"/>
      <c r="AM15" s="1324"/>
      <c r="AN15" s="1324"/>
      <c r="AO15" s="1324"/>
      <c r="AP15" s="1324"/>
      <c r="AQ15" s="1324"/>
      <c r="AR15" s="1324"/>
      <c r="AS15" s="1324"/>
      <c r="AT15" s="1324"/>
      <c r="AU15" s="1324"/>
      <c r="AW15" s="789"/>
      <c r="AX15" s="789" t="str">
        <f>IF(T15="","",T15)</f>
        <v>Добавить источник для дифференциации</v>
      </c>
      <c r="AY15" s="789"/>
      <c r="AZ15" s="789"/>
      <c r="BA15" s="518">
        <v>0</v>
      </c>
    </row>
    <row s="1642" customFormat="1" customHeight="1" ht="0.75" hidden="1">
      <c r="A16" s="1343"/>
      <c r="B16" s="1343"/>
      <c r="C16" s="1314"/>
      <c r="D16" s="1314"/>
      <c r="E16" s="2259"/>
      <c r="F16" s="2258"/>
      <c r="G16" s="1314"/>
      <c r="H16" s="1314"/>
      <c r="I16" s="1314"/>
      <c r="J16" s="1314"/>
      <c r="K16" s="1314"/>
      <c r="L16" s="1339"/>
      <c r="M16" s="1321"/>
      <c r="N16" s="1321"/>
      <c r="P16" s="1316"/>
      <c r="Q16" s="1317"/>
      <c r="R16" s="1316"/>
      <c r="S16" s="1322"/>
      <c r="T16" s="1325" t="s">
        <v>417</v>
      </c>
      <c r="U16" s="1324"/>
      <c r="V16" s="1324"/>
      <c r="W16" s="1324"/>
      <c r="X16" s="1324"/>
      <c r="Y16" s="1324"/>
      <c r="Z16" s="1324"/>
      <c r="AA16" s="1324"/>
      <c r="AB16" s="1324"/>
      <c r="AC16" s="1324"/>
      <c r="AD16" s="1324"/>
      <c r="AE16" s="1324"/>
      <c r="AF16" s="1324"/>
      <c r="AG16" s="1324"/>
      <c r="AH16" s="1324"/>
      <c r="AI16" s="1324"/>
      <c r="AJ16" s="1324"/>
      <c r="AK16" s="1324"/>
      <c r="AL16" s="1324"/>
      <c r="AM16" s="1324"/>
      <c r="AN16" s="1324"/>
      <c r="AO16" s="1324"/>
      <c r="AP16" s="1324"/>
      <c r="AQ16" s="1324"/>
      <c r="AR16" s="1324"/>
      <c r="AS16" s="1324"/>
      <c r="AT16" s="1324"/>
      <c r="AU16" s="1324"/>
      <c r="AW16" s="789"/>
      <c r="AX16" s="789" t="str">
        <f>IF(T16="","",T16)</f>
        <v>Добавить централизованную систему для дифференциации</v>
      </c>
      <c r="AY16" s="789"/>
      <c r="AZ16" s="789"/>
      <c r="BA16" s="518">
        <v>0</v>
      </c>
    </row>
    <row s="1642" customFormat="1" customHeight="1" ht="0.75" hidden="1">
      <c r="A17" s="1343"/>
      <c r="B17" s="1343"/>
      <c r="C17" s="1343"/>
      <c r="D17" s="1343"/>
      <c r="E17" s="2258"/>
      <c r="F17" s="1343"/>
      <c r="G17" s="1343"/>
      <c r="H17" s="1343"/>
      <c r="I17" s="1343"/>
      <c r="J17" s="1343"/>
      <c r="K17" s="1343"/>
      <c r="L17" s="1346"/>
      <c r="M17" s="1321"/>
      <c r="N17" s="1321"/>
      <c r="O17" s="518"/>
      <c r="P17" s="380"/>
      <c r="Q17" s="1344"/>
      <c r="R17" s="380"/>
      <c r="S17" s="1322"/>
      <c r="T17" s="1325" t="s">
        <v>418</v>
      </c>
      <c r="U17" s="1324"/>
      <c r="V17" s="1324"/>
      <c r="W17" s="1324"/>
      <c r="X17" s="1324"/>
      <c r="Y17" s="1324"/>
      <c r="Z17" s="1324"/>
      <c r="AA17" s="1324"/>
      <c r="AB17" s="1324"/>
      <c r="AC17" s="1324"/>
      <c r="AD17" s="1324"/>
      <c r="AE17" s="1324"/>
      <c r="AF17" s="1324"/>
      <c r="AG17" s="1324"/>
      <c r="AH17" s="1324"/>
      <c r="AI17" s="1324"/>
      <c r="AJ17" s="1324"/>
      <c r="AK17" s="1324"/>
      <c r="AL17" s="1324"/>
      <c r="AM17" s="1324"/>
      <c r="AN17" s="1324"/>
      <c r="AO17" s="1324"/>
      <c r="AP17" s="1324"/>
      <c r="AQ17" s="1324"/>
      <c r="AR17" s="1324"/>
      <c r="AS17" s="1324"/>
      <c r="AT17" s="1324"/>
      <c r="AU17" s="1324"/>
      <c r="AW17" s="500"/>
      <c r="AX17" s="500" t="str">
        <f>IF(T17="","",T17)</f>
        <v>Добавить территорию для дифференциации</v>
      </c>
      <c r="AY17" s="500"/>
      <c r="AZ17" s="500"/>
      <c r="BA17" s="511">
        <v>0</v>
      </c>
    </row>
    <row customHeight="1" ht="14.25" hidden="1">
      <c r="AA18" s="327"/>
      <c r="AS18" s="327"/>
      <c r="BA18" s="1155">
        <v>0</v>
      </c>
    </row>
    <row customHeight="1" ht="14.25" hidden="1">
      <c r="AB19" s="1324" t="s">
        <v>19</v>
      </c>
      <c r="AC19" s="1501"/>
      <c r="AD19" s="548">
        <v>1</v>
      </c>
      <c r="AE19" s="1502"/>
      <c r="AF19" s="1324" t="s">
        <v>19</v>
      </c>
      <c r="AG19" s="1501"/>
      <c r="AH19" s="548">
        <v>1</v>
      </c>
      <c r="AI19" s="1502"/>
      <c r="AJ19" s="1324" t="s">
        <v>19</v>
      </c>
      <c r="AK19" s="1503"/>
      <c r="AL19" s="548">
        <v>1</v>
      </c>
      <c r="AM19" s="1506"/>
      <c r="AN19" s="1403"/>
      <c r="AO19" s="1404"/>
      <c r="AP19" s="1736"/>
      <c r="AQ19" s="1460" t="s">
        <v>66</v>
      </c>
      <c r="AR19" s="1736"/>
      <c r="AS19" s="1460" t="s">
        <v>66</v>
      </c>
      <c r="BA19" s="1155">
        <v>0</v>
      </c>
    </row>
    <row customHeight="1" ht="14.25" hidden="1">
      <c r="AV20" s="496"/>
      <c r="AW20" s="496"/>
      <c r="AX20" s="496"/>
      <c r="AY20" s="496"/>
      <c r="AZ20" s="496"/>
      <c r="BA20" s="1155">
        <v>0</v>
      </c>
    </row>
    <row customHeight="1" ht="14.25" hidden="1">
      <c r="O21" s="1367" t="s">
        <v>419</v>
      </c>
      <c r="X21" s="1345"/>
      <c r="Z21" s="1345"/>
      <c r="AA21" s="327"/>
      <c r="AP21" s="1345"/>
      <c r="AR21" s="1345"/>
      <c r="AS21" s="327"/>
      <c r="AV21" s="496"/>
      <c r="AW21" s="496"/>
      <c r="AX21" s="496"/>
      <c r="AY21" s="496"/>
      <c r="AZ21" s="496"/>
      <c r="BA21" s="1155">
        <v>0</v>
      </c>
    </row>
    <row customHeight="1" ht="14.25" hidden="1">
      <c r="AA22" s="327"/>
      <c r="AS22" s="327"/>
      <c r="AV22" s="496"/>
      <c r="AW22" s="496"/>
      <c r="AX22" s="496"/>
      <c r="AY22" s="496"/>
      <c r="AZ22" s="496"/>
      <c r="BA22" s="1155">
        <v>0</v>
      </c>
    </row>
    <row s="1509" customFormat="1" customHeight="1" ht="14.25" hidden="1">
      <c r="M23" s="1508"/>
      <c r="N23" s="1508"/>
      <c r="O23" s="1509" t="s">
        <v>420</v>
      </c>
      <c r="P23" s="1508"/>
      <c r="Q23" s="1510"/>
      <c r="R23" s="1510"/>
      <c r="Y23" s="1507" t="s">
        <v>422</v>
      </c>
      <c r="AA23" s="1507" t="s">
        <v>423</v>
      </c>
      <c r="AB23" s="1507" t="s">
        <v>471</v>
      </c>
      <c r="AE23" s="1507" t="s">
        <v>472</v>
      </c>
      <c r="AF23" s="1507" t="s">
        <v>471</v>
      </c>
      <c r="AI23" s="1507" t="s">
        <v>473</v>
      </c>
      <c r="AJ23" s="1507" t="s">
        <v>471</v>
      </c>
      <c r="AM23" s="1507" t="s">
        <v>474</v>
      </c>
      <c r="AQ23" s="1507" t="s">
        <v>422</v>
      </c>
      <c r="AS23" s="1507" t="s">
        <v>423</v>
      </c>
      <c r="AV23" s="1511"/>
      <c r="AW23" s="1511"/>
      <c r="AX23" s="1511"/>
      <c r="AY23" s="1511"/>
      <c r="AZ23" s="1511"/>
      <c r="BA23" s="1507">
        <v>0</v>
      </c>
    </row>
    <row customHeight="1" ht="14.25" hidden="1">
      <c r="O24" s="1364"/>
      <c r="AV24" s="496"/>
      <c r="AW24" s="496"/>
      <c r="AX24" s="496"/>
      <c r="AY24" s="496"/>
      <c r="AZ24" s="496"/>
      <c r="BA24" s="1155">
        <v>0</v>
      </c>
    </row>
    <row customHeight="1" ht="14.25" hidden="1">
      <c r="O25" s="1364"/>
      <c r="AV25" s="496"/>
      <c r="AW25" s="496"/>
      <c r="AX25" s="496"/>
      <c r="AY25" s="496"/>
      <c r="AZ25" s="496"/>
      <c r="BA25" s="1155">
        <v>0</v>
      </c>
    </row>
    <row customHeight="1" ht="14.699999999999998">
      <c r="Q26" s="291"/>
      <c r="R26" s="376"/>
      <c r="S26" s="1275"/>
      <c r="T26" s="363"/>
      <c r="U26" s="363"/>
      <c r="V26" s="509"/>
      <c r="W26" s="509"/>
      <c r="X26" s="509"/>
      <c r="Y26" s="509"/>
      <c r="Z26" s="509"/>
      <c r="AA26" s="509"/>
      <c r="AB26" s="509"/>
      <c r="AC26" s="509"/>
      <c r="AD26" s="509"/>
      <c r="AE26" s="509"/>
      <c r="AF26" s="509"/>
      <c r="AG26" s="509"/>
      <c r="AH26" s="509"/>
      <c r="AI26" s="509"/>
      <c r="AJ26" s="509"/>
      <c r="AK26" s="509"/>
      <c r="AL26" s="509"/>
      <c r="AM26" s="509"/>
      <c r="AN26" s="509"/>
      <c r="AO26" s="509"/>
      <c r="AP26" s="509"/>
      <c r="AQ26" s="509"/>
      <c r="AR26" s="509"/>
      <c r="AS26" s="509"/>
      <c r="BA26" s="1155">
        <v>14</v>
      </c>
    </row>
    <row customHeight="1" ht="27.299999999999997">
      <c r="Q27" s="291"/>
      <c r="R27" s="376"/>
      <c r="S27" s="2248" t="str">
        <f>IF(TEMPLATE_GROUP="P",PT_P_FORM_HEAT_7_NAME_FORM,PT_R_FORM_HEAT_24_NAME_FORM)</f>
        <v>Форма 22. Информация о предложении регулируемой организации о расчетной величине платы за подключение (технологическое присоединение) к системе теплоснабжения, о расчетной величине платы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v>
      </c>
      <c r="T27" s="2248"/>
      <c r="U27" s="2248"/>
      <c r="V27" s="2248"/>
      <c r="W27" s="2248"/>
      <c r="X27" s="2248"/>
      <c r="Y27" s="2248"/>
      <c r="Z27" s="2248"/>
      <c r="AA27" s="2248"/>
      <c r="AB27" s="2248"/>
      <c r="AC27" s="2248"/>
      <c r="AD27" s="2248"/>
      <c r="AE27" s="2248"/>
      <c r="AF27" s="2248"/>
      <c r="AG27" s="2248"/>
      <c r="AH27" s="2248"/>
      <c r="AI27" s="2248"/>
      <c r="AJ27" s="2248"/>
      <c r="AK27" s="2248"/>
      <c r="AL27" s="2248"/>
      <c r="AM27" s="2248"/>
      <c r="AN27" s="2248"/>
      <c r="AO27" s="2248"/>
      <c r="AP27" s="2248"/>
      <c r="AQ27" s="2248"/>
      <c r="AR27" s="2248"/>
      <c r="AS27" s="1243"/>
      <c r="BA27" s="1155">
        <v>26</v>
      </c>
    </row>
    <row customHeight="1" ht="14.699999999999998">
      <c r="Q28" s="291"/>
      <c r="R28" s="376"/>
      <c r="S28" s="2249" t="str">
        <f>IF(org=0,"Не определено",org)</f>
        <v>ПАО "ОГК-2"</v>
      </c>
      <c r="T28" s="2249"/>
      <c r="U28" s="2249"/>
      <c r="V28" s="2249"/>
      <c r="W28" s="2249"/>
      <c r="X28" s="2249"/>
      <c r="Y28" s="2249"/>
      <c r="Z28" s="2249"/>
      <c r="AA28" s="2249"/>
      <c r="AB28" s="2249"/>
      <c r="AC28" s="2249"/>
      <c r="AD28" s="2249"/>
      <c r="AE28" s="2249"/>
      <c r="AF28" s="2249"/>
      <c r="AG28" s="2249"/>
      <c r="AH28" s="2249"/>
      <c r="AI28" s="2249"/>
      <c r="AJ28" s="2249"/>
      <c r="AK28" s="2249"/>
      <c r="AL28" s="2249"/>
      <c r="AM28" s="2249"/>
      <c r="AN28" s="2249"/>
      <c r="AO28" s="2249"/>
      <c r="AP28" s="2249"/>
      <c r="AQ28" s="2249"/>
      <c r="AR28" s="2249"/>
      <c r="AS28" s="1243"/>
      <c r="BA28" s="1155">
        <v>14</v>
      </c>
    </row>
    <row customHeight="1" ht="14.25" hidden="1">
      <c r="Q29" s="291"/>
      <c r="R29" s="376"/>
      <c r="S29" s="1275"/>
      <c r="T29" s="363"/>
      <c r="U29" s="363"/>
      <c r="V29" s="322"/>
      <c r="W29" s="322"/>
      <c r="X29" s="322"/>
      <c r="Y29" s="322"/>
      <c r="Z29" s="322"/>
      <c r="AA29" s="322"/>
      <c r="AB29" s="322"/>
      <c r="AC29" s="322"/>
      <c r="AD29" s="322"/>
      <c r="AE29" s="322"/>
      <c r="AF29" s="322"/>
      <c r="AG29" s="322"/>
      <c r="AH29" s="322"/>
      <c r="AI29" s="322"/>
      <c r="AJ29" s="322"/>
      <c r="AK29" s="322"/>
      <c r="AL29" s="322"/>
      <c r="AM29" s="322"/>
      <c r="AN29" s="322"/>
      <c r="AO29" s="322"/>
      <c r="AP29" s="322"/>
      <c r="AQ29" s="322"/>
      <c r="AR29" s="322"/>
      <c r="AS29" s="322"/>
      <c r="AT29" s="509"/>
      <c r="BA29" s="1155">
        <v>0</v>
      </c>
    </row>
    <row s="1853" customFormat="1" customHeight="1" ht="25.5" hidden="1">
      <c r="A30" s="1368"/>
      <c r="B30" s="1368"/>
      <c r="C30" s="1368"/>
      <c r="D30" s="1368"/>
      <c r="E30" s="1368"/>
      <c r="F30" s="1368"/>
      <c r="G30" s="1368"/>
      <c r="H30" s="1368"/>
      <c r="I30" s="1368"/>
      <c r="J30" s="1368"/>
      <c r="K30" s="1368"/>
      <c r="L30" s="1369"/>
      <c r="M30" s="1368"/>
      <c r="N30" s="1368"/>
      <c r="O30" s="1368"/>
      <c r="P30" s="1368"/>
      <c r="Q30" s="1368"/>
      <c r="S30" s="2250" t="s">
        <v>42</v>
      </c>
      <c r="T30" s="2250"/>
      <c r="U30" s="1372"/>
      <c r="V30" s="2251" t="str">
        <f>IF(TITLE_NAME_OR_PR_CHANGE="",IF(TITLE_NAME_OR_PR="","",TITLE_NAME_OR_PR),TITLE_NAME_OR_PR_CHANGE)</f>
        <v/>
      </c>
      <c r="W30" s="2251"/>
      <c r="X30" s="2251"/>
      <c r="Y30" s="2251"/>
      <c r="Z30" s="2251"/>
      <c r="AA30" s="326"/>
      <c r="AB30" s="2251" t="str">
        <f>IF(TITLE_NAME_OR_PR_CHANGE="",IF(TITLE_NAME_OR_PR="","",TITLE_NAME_OR_PR),TITLE_NAME_OR_PR_CHANGE)</f>
        <v/>
      </c>
      <c r="AC30" s="2251"/>
      <c r="AD30" s="2251"/>
      <c r="AE30" s="2251"/>
      <c r="AF30" s="2251"/>
      <c r="AG30" s="2251"/>
      <c r="AH30" s="2251"/>
      <c r="AI30" s="2251"/>
      <c r="AJ30" s="2251"/>
      <c r="AK30" s="2251"/>
      <c r="AL30" s="2251"/>
      <c r="AM30" s="2251"/>
      <c r="AN30" s="2251"/>
      <c r="AO30" s="2251"/>
      <c r="AP30" s="2251"/>
      <c r="AQ30" s="2251"/>
      <c r="AR30" s="2251"/>
      <c r="AS30" s="326"/>
      <c r="AT30" s="326"/>
      <c r="AU30" s="280"/>
      <c r="AV30" s="368"/>
      <c r="AW30" s="368"/>
      <c r="AX30" s="368"/>
      <c r="AY30" s="368"/>
      <c r="AZ30" s="368"/>
      <c r="BA30" s="418">
        <v>0</v>
      </c>
    </row>
    <row s="1853" customFormat="1" customHeight="1" ht="18.75" hidden="1">
      <c r="A31" s="1368"/>
      <c r="B31" s="1368"/>
      <c r="C31" s="1368"/>
      <c r="D31" s="1368"/>
      <c r="E31" s="1368"/>
      <c r="F31" s="1368"/>
      <c r="G31" s="1368"/>
      <c r="H31" s="1368"/>
      <c r="I31" s="1368"/>
      <c r="J31" s="1368"/>
      <c r="K31" s="1368"/>
      <c r="L31" s="1369"/>
      <c r="M31" s="1368"/>
      <c r="N31" s="1368"/>
      <c r="O31" s="1368"/>
      <c r="P31" s="1368"/>
      <c r="Q31" s="1368"/>
      <c r="S31" s="2250" t="s">
        <v>425</v>
      </c>
      <c r="T31" s="2250"/>
      <c r="U31" s="1372"/>
      <c r="V31" s="2264" t="str">
        <f>IF(TITLE_DATE_PR_CHANGE="",IF(TITLE_DATE_PR="","",TITLE_DATE_PR),TITLE_DATE_PR_CHANGE)</f>
        <v/>
      </c>
      <c r="W31" s="2264"/>
      <c r="X31" s="2264"/>
      <c r="Y31" s="2264"/>
      <c r="Z31" s="2264"/>
      <c r="AA31" s="326"/>
      <c r="AB31" s="2264" t="str">
        <f>IF(TITLE_DATE_PR_CHANGE="",IF(TITLE_DATE_PR="","",TITLE_DATE_PR),TITLE_DATE_PR_CHANGE)</f>
        <v/>
      </c>
      <c r="AC31" s="2264"/>
      <c r="AD31" s="2264"/>
      <c r="AE31" s="2264"/>
      <c r="AF31" s="2264"/>
      <c r="AG31" s="2264"/>
      <c r="AH31" s="2264"/>
      <c r="AI31" s="2264"/>
      <c r="AJ31" s="2264"/>
      <c r="AK31" s="2264"/>
      <c r="AL31" s="2264"/>
      <c r="AM31" s="2264"/>
      <c r="AN31" s="2264"/>
      <c r="AO31" s="2264"/>
      <c r="AP31" s="2264"/>
      <c r="AQ31" s="2264"/>
      <c r="AR31" s="2264"/>
      <c r="AS31" s="326"/>
      <c r="AT31" s="326"/>
      <c r="AU31" s="280"/>
      <c r="AV31" s="368"/>
      <c r="AW31" s="368"/>
      <c r="AX31" s="368"/>
      <c r="AY31" s="368"/>
      <c r="AZ31" s="368"/>
      <c r="BA31" s="418">
        <v>0</v>
      </c>
    </row>
    <row s="1853" customFormat="1" customHeight="1" ht="18.75" hidden="1">
      <c r="A32" s="1368"/>
      <c r="B32" s="1368"/>
      <c r="C32" s="1368"/>
      <c r="D32" s="1368"/>
      <c r="E32" s="1368"/>
      <c r="F32" s="1368"/>
      <c r="G32" s="1368"/>
      <c r="H32" s="1368"/>
      <c r="I32" s="1368"/>
      <c r="J32" s="1368"/>
      <c r="K32" s="1368"/>
      <c r="L32" s="1369"/>
      <c r="M32" s="1368"/>
      <c r="N32" s="1368"/>
      <c r="O32" s="1368"/>
      <c r="P32" s="1368"/>
      <c r="Q32" s="1368"/>
      <c r="S32" s="2250" t="s">
        <v>426</v>
      </c>
      <c r="T32" s="2250"/>
      <c r="U32" s="1372"/>
      <c r="V32" s="2251" t="str">
        <f>IF(TITLE_NUMBER_PR_CHANGE="",IF(TITLE_NUMBER_PR="","",TITLE_NUMBER_PR),TITLE_NUMBER_PR_CHANGE)</f>
        <v/>
      </c>
      <c r="W32" s="2251"/>
      <c r="X32" s="2251"/>
      <c r="Y32" s="2251"/>
      <c r="Z32" s="2251"/>
      <c r="AA32" s="326"/>
      <c r="AB32" s="2251" t="str">
        <f>IF(TITLE_NUMBER_PR_CHANGE="",IF(TITLE_NUMBER_PR="","",TITLE_NUMBER_PR),TITLE_NUMBER_PR_CHANGE)</f>
        <v/>
      </c>
      <c r="AC32" s="2251"/>
      <c r="AD32" s="2251"/>
      <c r="AE32" s="2251"/>
      <c r="AF32" s="2251"/>
      <c r="AG32" s="2251"/>
      <c r="AH32" s="2251"/>
      <c r="AI32" s="2251"/>
      <c r="AJ32" s="2251"/>
      <c r="AK32" s="2251"/>
      <c r="AL32" s="2251"/>
      <c r="AM32" s="2251"/>
      <c r="AN32" s="2251"/>
      <c r="AO32" s="2251"/>
      <c r="AP32" s="2251"/>
      <c r="AQ32" s="2251"/>
      <c r="AR32" s="2251"/>
      <c r="AS32" s="326"/>
      <c r="AT32" s="326"/>
      <c r="AU32" s="280"/>
      <c r="AV32" s="368"/>
      <c r="AW32" s="368"/>
      <c r="AX32" s="368"/>
      <c r="AY32" s="368"/>
      <c r="AZ32" s="368"/>
      <c r="BA32" s="418">
        <v>0</v>
      </c>
    </row>
    <row s="1853" customFormat="1" customHeight="1" ht="18.75" hidden="1">
      <c r="A33" s="1368"/>
      <c r="B33" s="1368"/>
      <c r="C33" s="1368"/>
      <c r="D33" s="1368"/>
      <c r="E33" s="1368"/>
      <c r="F33" s="1368"/>
      <c r="G33" s="1368"/>
      <c r="H33" s="1368"/>
      <c r="I33" s="1368"/>
      <c r="J33" s="1368"/>
      <c r="K33" s="1368"/>
      <c r="L33" s="1369"/>
      <c r="M33" s="1368"/>
      <c r="N33" s="1368"/>
      <c r="O33" s="1368"/>
      <c r="P33" s="1368"/>
      <c r="Q33" s="1368"/>
      <c r="S33" s="2250" t="s">
        <v>43</v>
      </c>
      <c r="T33" s="2250"/>
      <c r="U33" s="1372"/>
      <c r="V33" s="2251" t="str">
        <f>IF(TITLE_IST_PUB_CHANGE="",IF(TITLE_IST_PUB="","",TITLE_IST_PUB),TITLE_IST_PUB_CHANGE)</f>
        <v/>
      </c>
      <c r="W33" s="2251"/>
      <c r="X33" s="2251"/>
      <c r="Y33" s="2251"/>
      <c r="Z33" s="2251"/>
      <c r="AA33" s="326"/>
      <c r="AB33" s="2251" t="str">
        <f>IF(TITLE_IST_PUB_CHANGE="",IF(TITLE_IST_PUB="","",TITLE_IST_PUB),TITLE_IST_PUB_CHANGE)</f>
        <v/>
      </c>
      <c r="AC33" s="2251"/>
      <c r="AD33" s="2251"/>
      <c r="AE33" s="2251"/>
      <c r="AF33" s="2251"/>
      <c r="AG33" s="2251"/>
      <c r="AH33" s="2251"/>
      <c r="AI33" s="2251"/>
      <c r="AJ33" s="2251"/>
      <c r="AK33" s="2251"/>
      <c r="AL33" s="2251"/>
      <c r="AM33" s="2251"/>
      <c r="AN33" s="2251"/>
      <c r="AO33" s="2251"/>
      <c r="AP33" s="2251"/>
      <c r="AQ33" s="2251"/>
      <c r="AR33" s="2251"/>
      <c r="AS33" s="326"/>
      <c r="AT33" s="326"/>
      <c r="AU33" s="280"/>
      <c r="AV33" s="368"/>
      <c r="AW33" s="368"/>
      <c r="AX33" s="368"/>
      <c r="AY33" s="368"/>
      <c r="AZ33" s="368"/>
      <c r="BA33" s="418">
        <v>0</v>
      </c>
    </row>
    <row customHeight="1" ht="14.25" hidden="1">
      <c r="Q34" s="291"/>
      <c r="R34" s="376"/>
      <c r="S34" s="1275"/>
      <c r="T34" s="363"/>
      <c r="U34" s="363"/>
      <c r="V34" s="322"/>
      <c r="W34" s="322"/>
      <c r="X34" s="322"/>
      <c r="Y34" s="322"/>
      <c r="Z34" s="322"/>
      <c r="AA34" s="322"/>
      <c r="AB34" s="322"/>
      <c r="AC34" s="322"/>
      <c r="AD34" s="322"/>
      <c r="AE34" s="322"/>
      <c r="AF34" s="322"/>
      <c r="AG34" s="322"/>
      <c r="AH34" s="322"/>
      <c r="AI34" s="322"/>
      <c r="AJ34" s="322"/>
      <c r="AK34" s="322"/>
      <c r="AL34" s="322"/>
      <c r="AM34" s="322"/>
      <c r="AN34" s="322"/>
      <c r="AO34" s="322"/>
      <c r="AP34" s="322"/>
      <c r="AQ34" s="322"/>
      <c r="AR34" s="322"/>
      <c r="AS34" s="322"/>
      <c r="AT34" s="509"/>
      <c r="BA34" s="1155">
        <v>0</v>
      </c>
    </row>
    <row s="1853" customFormat="1" customHeight="1" ht="18.75" hidden="1">
      <c r="A35" s="1368"/>
      <c r="B35" s="1368"/>
      <c r="C35" s="1368"/>
      <c r="D35" s="1368"/>
      <c r="E35" s="1368"/>
      <c r="F35" s="1368"/>
      <c r="G35" s="1368"/>
      <c r="H35" s="1368"/>
      <c r="I35" s="1368"/>
      <c r="J35" s="1368"/>
      <c r="K35" s="1368"/>
      <c r="L35" s="1369"/>
      <c r="M35" s="1368"/>
      <c r="N35" s="1368"/>
      <c r="O35" s="1368"/>
      <c r="P35" s="1368"/>
      <c r="Q35" s="1368"/>
      <c r="S35" s="2250" t="s">
        <v>425</v>
      </c>
      <c r="T35" s="2250"/>
      <c r="U35" s="1372"/>
      <c r="V35" s="2264" t="str">
        <f>IF(TITLE_DATE_PR_CHANGE="",IF(TITLE_DATE_PR="","",TITLE_DATE_PR),TITLE_DATE_PR_CHANGE)</f>
        <v/>
      </c>
      <c r="W35" s="2264"/>
      <c r="X35" s="2264"/>
      <c r="Y35" s="2264"/>
      <c r="Z35" s="2264"/>
      <c r="AA35" s="326"/>
      <c r="AB35" s="2264" t="str">
        <f>IF(TITLE_DATE_PR_CHANGE="",IF(TITLE_DATE_PR="","",TITLE_DATE_PR),TITLE_DATE_PR_CHANGE)</f>
        <v/>
      </c>
      <c r="AC35" s="2264"/>
      <c r="AD35" s="2264"/>
      <c r="AE35" s="2264"/>
      <c r="AF35" s="2264"/>
      <c r="AG35" s="2264"/>
      <c r="AH35" s="2264"/>
      <c r="AI35" s="2264"/>
      <c r="AJ35" s="2264"/>
      <c r="AK35" s="2264"/>
      <c r="AL35" s="2264"/>
      <c r="AM35" s="2264"/>
      <c r="AN35" s="2264"/>
      <c r="AO35" s="2264"/>
      <c r="AP35" s="2264"/>
      <c r="AQ35" s="2264"/>
      <c r="AR35" s="2264"/>
      <c r="AS35" s="326"/>
      <c r="AT35" s="326"/>
      <c r="AU35" s="280"/>
      <c r="AV35" s="368"/>
      <c r="AW35" s="368"/>
      <c r="AX35" s="368"/>
      <c r="AY35" s="368"/>
      <c r="AZ35" s="368"/>
      <c r="BA35" s="418">
        <v>0</v>
      </c>
    </row>
    <row s="1853" customFormat="1" customHeight="1" ht="18" hidden="1">
      <c r="A36" s="1368"/>
      <c r="B36" s="1368"/>
      <c r="C36" s="1368"/>
      <c r="D36" s="1368"/>
      <c r="E36" s="1368"/>
      <c r="F36" s="1368"/>
      <c r="G36" s="1368"/>
      <c r="H36" s="1368"/>
      <c r="I36" s="1368"/>
      <c r="J36" s="1368"/>
      <c r="K36" s="1368"/>
      <c r="L36" s="1369"/>
      <c r="M36" s="1368"/>
      <c r="N36" s="1368"/>
      <c r="O36" s="1368"/>
      <c r="P36" s="1368"/>
      <c r="Q36" s="1368"/>
      <c r="S36" s="2250" t="s">
        <v>426</v>
      </c>
      <c r="T36" s="2250"/>
      <c r="U36" s="1372"/>
      <c r="V36" s="2251" t="str">
        <f>IF(TITLE_NUMBER_PR_CHANGE="",IF(TITLE_NUMBER_PR="","",TITLE_NUMBER_PR),TITLE_NUMBER_PR_CHANGE)</f>
        <v/>
      </c>
      <c r="W36" s="2251"/>
      <c r="X36" s="2251"/>
      <c r="Y36" s="2251"/>
      <c r="Z36" s="2251"/>
      <c r="AA36" s="326"/>
      <c r="AB36" s="2251" t="str">
        <f>IF(TITLE_NUMBER_PR_CHANGE="",IF(TITLE_NUMBER_PR="","",TITLE_NUMBER_PR),TITLE_NUMBER_PR_CHANGE)</f>
        <v/>
      </c>
      <c r="AC36" s="2251"/>
      <c r="AD36" s="2251"/>
      <c r="AE36" s="2251"/>
      <c r="AF36" s="2251"/>
      <c r="AG36" s="2251"/>
      <c r="AH36" s="2251"/>
      <c r="AI36" s="2251"/>
      <c r="AJ36" s="2251"/>
      <c r="AK36" s="2251"/>
      <c r="AL36" s="2251"/>
      <c r="AM36" s="2251"/>
      <c r="AN36" s="2251"/>
      <c r="AO36" s="2251"/>
      <c r="AP36" s="2251"/>
      <c r="AQ36" s="2251"/>
      <c r="AR36" s="2251"/>
      <c r="AS36" s="326"/>
      <c r="AT36" s="326"/>
      <c r="AU36" s="280"/>
      <c r="AV36" s="368"/>
      <c r="AW36" s="368"/>
      <c r="AX36" s="368"/>
      <c r="AY36" s="368"/>
      <c r="AZ36" s="368"/>
      <c r="BA36" s="418">
        <v>0</v>
      </c>
    </row>
    <row s="1853" customFormat="1" customHeight="1" ht="1.05">
      <c r="A37" s="1368"/>
      <c r="B37" s="1368"/>
      <c r="C37" s="1368"/>
      <c r="D37" s="1368"/>
      <c r="E37" s="1368"/>
      <c r="F37" s="1368"/>
      <c r="G37" s="1368"/>
      <c r="H37" s="1368"/>
      <c r="I37" s="1368"/>
      <c r="J37" s="1368"/>
      <c r="K37" s="1368"/>
      <c r="L37" s="1369"/>
      <c r="M37" s="1368"/>
      <c r="N37" s="1368"/>
      <c r="O37" s="1368"/>
      <c r="P37" s="1368"/>
      <c r="Q37" s="1368"/>
      <c r="S37" s="323"/>
      <c r="T37" s="323"/>
      <c r="U37" s="1340"/>
      <c r="V37" s="326"/>
      <c r="W37" s="326"/>
      <c r="X37" s="326"/>
      <c r="Y37" s="326"/>
      <c r="Z37" s="326"/>
      <c r="AA37" s="278" t="s">
        <v>429</v>
      </c>
      <c r="AB37" s="326"/>
      <c r="AC37" s="326"/>
      <c r="AD37" s="326"/>
      <c r="AE37" s="326"/>
      <c r="AF37" s="326"/>
      <c r="AG37" s="326"/>
      <c r="AH37" s="326"/>
      <c r="AI37" s="326"/>
      <c r="AJ37" s="326"/>
      <c r="AK37" s="326"/>
      <c r="AL37" s="326"/>
      <c r="AM37" s="326"/>
      <c r="AN37" s="326"/>
      <c r="AO37" s="326"/>
      <c r="AP37" s="326"/>
      <c r="AQ37" s="326"/>
      <c r="AR37" s="326"/>
      <c r="AS37" s="278" t="s">
        <v>429</v>
      </c>
      <c r="AV37" s="368"/>
      <c r="AW37" s="368"/>
      <c r="AX37" s="368"/>
      <c r="AY37" s="368"/>
      <c r="AZ37" s="368"/>
      <c r="BA37" s="418">
        <v>1</v>
      </c>
    </row>
    <row customHeight="1" ht="14.699999999999998">
      <c r="Q38" s="291"/>
      <c r="R38" s="376"/>
      <c r="S38" s="1275"/>
      <c r="T38" s="363"/>
      <c r="U38" s="1244"/>
      <c r="V38" s="2252"/>
      <c r="W38" s="2252"/>
      <c r="X38" s="2252"/>
      <c r="Y38" s="2252"/>
      <c r="Z38" s="2252"/>
      <c r="AA38" s="2252"/>
      <c r="AB38" s="2252"/>
      <c r="AC38" s="2252"/>
      <c r="AD38" s="2252"/>
      <c r="AE38" s="2252"/>
      <c r="AF38" s="2252"/>
      <c r="AG38" s="2252"/>
      <c r="AH38" s="2252"/>
      <c r="AI38" s="2252"/>
      <c r="AJ38" s="2252"/>
      <c r="AK38" s="2252"/>
      <c r="AL38" s="2252"/>
      <c r="AM38" s="2252"/>
      <c r="AN38" s="2252"/>
      <c r="AO38" s="2252"/>
      <c r="AP38" s="2252"/>
      <c r="AQ38" s="2252"/>
      <c r="AR38" s="2252"/>
      <c r="AS38" s="2252"/>
      <c r="BA38" s="1155">
        <v>14</v>
      </c>
    </row>
    <row customHeight="1" ht="14.699999999999998">
      <c r="Q39" s="291"/>
      <c r="R39" s="376"/>
      <c r="S39" s="2127" t="s">
        <v>302</v>
      </c>
      <c r="T39" s="2127"/>
      <c r="U39" s="2127"/>
      <c r="V39" s="2127"/>
      <c r="W39" s="2127"/>
      <c r="X39" s="2127"/>
      <c r="Y39" s="2127"/>
      <c r="Z39" s="2127"/>
      <c r="AA39" s="2127"/>
      <c r="AB39" s="2175"/>
      <c r="AC39" s="2175"/>
      <c r="AD39" s="2175"/>
      <c r="AE39" s="2175"/>
      <c r="AF39" s="2127"/>
      <c r="AG39" s="2127"/>
      <c r="AH39" s="2127"/>
      <c r="AI39" s="2127"/>
      <c r="AJ39" s="2127"/>
      <c r="AK39" s="2127"/>
      <c r="AL39" s="2127"/>
      <c r="AM39" s="2127"/>
      <c r="AN39" s="2127"/>
      <c r="AO39" s="2127"/>
      <c r="AP39" s="2127"/>
      <c r="AQ39" s="2127"/>
      <c r="AR39" s="2127"/>
      <c r="AS39" s="2127"/>
      <c r="AT39" s="2127"/>
      <c r="AU39" s="2127" t="s">
        <v>303</v>
      </c>
      <c r="BA39" s="1155">
        <v>14</v>
      </c>
    </row>
    <row customHeight="1" ht="14.699999999999998">
      <c r="Q40" s="291"/>
      <c r="R40" s="376"/>
      <c r="S40" s="2273" t="s">
        <v>88</v>
      </c>
      <c r="T40" s="2209" t="s">
        <v>475</v>
      </c>
      <c r="U40" s="301"/>
      <c r="V40" s="2275"/>
      <c r="W40" s="2275"/>
      <c r="X40" s="2275"/>
      <c r="Y40" s="2275"/>
      <c r="Z40" s="2276"/>
      <c r="AA40" s="2336" t="s">
        <v>432</v>
      </c>
      <c r="AB40" s="2328" t="s">
        <v>476</v>
      </c>
      <c r="AC40" s="2291"/>
      <c r="AD40" s="2291"/>
      <c r="AE40" s="2329"/>
      <c r="AF40" s="2291" t="s">
        <v>477</v>
      </c>
      <c r="AG40" s="2291"/>
      <c r="AH40" s="2291"/>
      <c r="AI40" s="2329"/>
      <c r="AJ40" s="2328" t="s">
        <v>478</v>
      </c>
      <c r="AK40" s="2291"/>
      <c r="AL40" s="2291"/>
      <c r="AM40" s="2329"/>
      <c r="AN40" s="2328" t="s">
        <v>431</v>
      </c>
      <c r="AO40" s="2291"/>
      <c r="AP40" s="2275"/>
      <c r="AQ40" s="2275"/>
      <c r="AR40" s="2276"/>
      <c r="AS40" s="2277" t="s">
        <v>432</v>
      </c>
      <c r="AT40" s="2280" t="s">
        <v>434</v>
      </c>
      <c r="AU40" s="2127"/>
      <c r="BA40" s="1155">
        <v>14</v>
      </c>
    </row>
    <row customHeight="1" ht="35.699999999999996">
      <c r="Q41" s="291"/>
      <c r="R41" s="376"/>
      <c r="S41" s="2273"/>
      <c r="T41" s="2209"/>
      <c r="U41" s="1031"/>
      <c r="V41" s="2127" t="s">
        <v>479</v>
      </c>
      <c r="W41" s="2127"/>
      <c r="X41" s="2294" t="s">
        <v>438</v>
      </c>
      <c r="Y41" s="2313"/>
      <c r="Z41" s="2314"/>
      <c r="AA41" s="2337"/>
      <c r="AB41" s="2330"/>
      <c r="AC41" s="2331"/>
      <c r="AD41" s="2331"/>
      <c r="AE41" s="2332"/>
      <c r="AF41" s="2331"/>
      <c r="AG41" s="2331"/>
      <c r="AH41" s="2331"/>
      <c r="AI41" s="2332"/>
      <c r="AJ41" s="2330"/>
      <c r="AK41" s="2331"/>
      <c r="AL41" s="2331"/>
      <c r="AM41" s="2331"/>
      <c r="AN41" s="2127" t="s">
        <v>479</v>
      </c>
      <c r="AO41" s="2127"/>
      <c r="AP41" s="2313" t="s">
        <v>438</v>
      </c>
      <c r="AQ41" s="2313"/>
      <c r="AR41" s="2314"/>
      <c r="AS41" s="2278"/>
      <c r="AT41" s="2281"/>
      <c r="AU41" s="2127"/>
      <c r="BA41" s="1155">
        <v>34</v>
      </c>
    </row>
    <row customHeight="1" ht="14.699999999999998">
      <c r="Q42" s="291"/>
      <c r="R42" s="376"/>
      <c r="S42" s="2273"/>
      <c r="T42" s="2209"/>
      <c r="U42" s="1031"/>
      <c r="V42" s="2340" t="str">
        <f>IF($AN$42&lt;&gt;"",$AN$42,"")</f>
        <v/>
      </c>
      <c r="W42" s="2340"/>
      <c r="X42" s="2295"/>
      <c r="Y42" s="2315"/>
      <c r="Z42" s="2316"/>
      <c r="AA42" s="2337"/>
      <c r="AB42" s="2330"/>
      <c r="AC42" s="2331"/>
      <c r="AD42" s="2331"/>
      <c r="AE42" s="2332"/>
      <c r="AF42" s="2331"/>
      <c r="AG42" s="2331"/>
      <c r="AH42" s="2331"/>
      <c r="AI42" s="2332"/>
      <c r="AJ42" s="2330"/>
      <c r="AK42" s="2331"/>
      <c r="AL42" s="2331"/>
      <c r="AM42" s="2331"/>
      <c r="AN42" s="2339"/>
      <c r="AO42" s="2339"/>
      <c r="AP42" s="2315"/>
      <c r="AQ42" s="2315"/>
      <c r="AR42" s="2316"/>
      <c r="AS42" s="2278"/>
      <c r="AT42" s="2281"/>
      <c r="AU42" s="2127"/>
      <c r="BA42" s="1155">
        <v>14</v>
      </c>
    </row>
    <row customHeight="1" ht="14.699999999999998">
      <c r="A43" s="1370"/>
      <c r="B43" s="1370" t="s">
        <v>139</v>
      </c>
      <c r="C43" s="1370" t="s">
        <v>140</v>
      </c>
      <c r="D43" s="1370" t="s">
        <v>141</v>
      </c>
      <c r="E43" s="1364" t="s">
        <v>439</v>
      </c>
      <c r="F43" s="1364" t="s">
        <v>440</v>
      </c>
      <c r="G43" s="1364" t="s">
        <v>441</v>
      </c>
      <c r="H43" s="1364" t="s">
        <v>442</v>
      </c>
      <c r="I43" s="1364" t="s">
        <v>443</v>
      </c>
      <c r="J43" s="1364" t="s">
        <v>444</v>
      </c>
      <c r="K43" s="1364" t="s">
        <v>445</v>
      </c>
      <c r="L43" s="1364" t="s">
        <v>420</v>
      </c>
      <c r="Q43" s="291"/>
      <c r="R43" s="376"/>
      <c r="S43" s="2273"/>
      <c r="T43" s="2209"/>
      <c r="U43" s="302"/>
      <c r="V43" s="1330" t="s">
        <v>480</v>
      </c>
      <c r="W43" s="1330" t="s">
        <v>481</v>
      </c>
      <c r="X43" s="1338" t="s">
        <v>448</v>
      </c>
      <c r="Y43" s="2270" t="s">
        <v>449</v>
      </c>
      <c r="Z43" s="2271"/>
      <c r="AA43" s="2338"/>
      <c r="AB43" s="2333"/>
      <c r="AC43" s="2334"/>
      <c r="AD43" s="2334"/>
      <c r="AE43" s="2335"/>
      <c r="AF43" s="2334"/>
      <c r="AG43" s="2334"/>
      <c r="AH43" s="2334"/>
      <c r="AI43" s="2335"/>
      <c r="AJ43" s="2333"/>
      <c r="AK43" s="2334"/>
      <c r="AL43" s="2334"/>
      <c r="AM43" s="2335"/>
      <c r="AN43" s="1860" t="s">
        <v>480</v>
      </c>
      <c r="AO43" s="1860" t="s">
        <v>481</v>
      </c>
      <c r="AP43" s="1338" t="s">
        <v>448</v>
      </c>
      <c r="AQ43" s="2270" t="s">
        <v>449</v>
      </c>
      <c r="AR43" s="2271"/>
      <c r="AS43" s="2279"/>
      <c r="AT43" s="2282"/>
      <c r="AU43" s="2127"/>
      <c r="BA43" s="1155">
        <v>14</v>
      </c>
    </row>
    <row s="1641" customFormat="1" customHeight="1" ht="11.25" hidden="1">
      <c r="A44" s="1370"/>
      <c r="B44" s="1370"/>
      <c r="C44" s="1370"/>
      <c r="D44" s="1370"/>
      <c r="E44" s="1370"/>
      <c r="F44" s="1370"/>
      <c r="G44" s="1370"/>
      <c r="H44" s="1370"/>
      <c r="I44" s="1370"/>
      <c r="J44" s="1370"/>
      <c r="K44" s="1370"/>
      <c r="L44" s="1364"/>
      <c r="M44" s="1362"/>
      <c r="N44" s="1362"/>
      <c r="O44" s="1362"/>
      <c r="P44" s="510"/>
      <c r="Q44" s="1254"/>
      <c r="R44" s="1254">
        <v>1</v>
      </c>
      <c r="S44" s="1277" t="s">
        <v>109</v>
      </c>
      <c r="T44" s="1255" t="s">
        <v>110</v>
      </c>
      <c r="U44" s="1245" t="str">
        <f>OFFSET(U44,0,-1)</f>
        <v>2</v>
      </c>
      <c r="V44" s="1335">
        <f>OFFSET(V44,0,-1)+1</f>
        <v>3</v>
      </c>
      <c r="W44" s="1335">
        <f>OFFSET(W44,0,-1)+1</f>
        <v>4</v>
      </c>
      <c r="X44" s="1335">
        <f>OFFSET(X44,0,-1)+1</f>
        <v>5</v>
      </c>
      <c r="Y44" s="2272">
        <f>OFFSET(Y44,0,-1)+1</f>
        <v>6</v>
      </c>
      <c r="Z44" s="2272"/>
      <c r="AA44" s="1335">
        <f>OFFSET(AA44,0,-2)+1</f>
        <v>7</v>
      </c>
      <c r="AB44" s="1341">
        <f>OFFSET(AB44,0,-1)+1</f>
        <v>8</v>
      </c>
      <c r="AC44" s="1341"/>
      <c r="AD44" s="1341"/>
      <c r="AE44" s="1341"/>
      <c r="AF44" s="1335"/>
      <c r="AG44" s="1335"/>
      <c r="AH44" s="1335"/>
      <c r="AI44" s="1335"/>
      <c r="AJ44" s="1335"/>
      <c r="AK44" s="1335"/>
      <c r="AL44" s="1335"/>
      <c r="AM44" s="1335"/>
      <c r="AN44" s="1335">
        <f>OFFSET(AN44,0,-1)+1</f>
        <v>1</v>
      </c>
      <c r="AO44" s="1335">
        <f>OFFSET(AO44,0,-1)+1</f>
        <v>2</v>
      </c>
      <c r="AP44" s="1335">
        <f>OFFSET(AP44,0,-1)+1</f>
        <v>3</v>
      </c>
      <c r="AQ44" s="2272">
        <f>OFFSET(AQ44,0,-1)+1</f>
        <v>4</v>
      </c>
      <c r="AR44" s="2272"/>
      <c r="AS44" s="1335">
        <f>OFFSET(AS44,0,-2)+1</f>
        <v>5</v>
      </c>
      <c r="AT44" s="1245">
        <f>OFFSET(AT44,0,-1)</f>
        <v>5</v>
      </c>
      <c r="AU44" s="1335">
        <f>OFFSET(AU44,0,-1)+1</f>
        <v>6</v>
      </c>
      <c r="AV44" s="511"/>
      <c r="AW44" s="511"/>
      <c r="AX44" s="511"/>
      <c r="AY44" s="511"/>
      <c r="AZ44" s="511"/>
      <c r="BA44" s="496">
        <v>0</v>
      </c>
    </row>
    <row customHeight="1" ht="107.25">
      <c r="A45" s="1363" t="s">
        <v>202</v>
      </c>
      <c r="B45" s="1363"/>
      <c r="C45" s="1363"/>
      <c r="D45" s="1363"/>
      <c r="E45" s="2258">
        <v>1</v>
      </c>
      <c r="F45" s="1363"/>
      <c r="G45" s="1363"/>
      <c r="H45" s="1363"/>
      <c r="I45" s="1363"/>
      <c r="J45" s="1363"/>
      <c r="K45" s="1363"/>
      <c r="L45" s="1364"/>
      <c r="M45" s="1365"/>
      <c r="N45" s="1365"/>
      <c r="O45" s="1365"/>
      <c r="P45" s="1409"/>
      <c r="Q45" s="873"/>
      <c r="R45" s="355"/>
      <c r="S45" s="1336">
        <f>INDEX(PT_DIFFERENTIATION_NUM_NTAR,MATCH(A45,PT_DIFFERENTIATION_NTAR_ID,0))</f>
        <v>0</v>
      </c>
      <c r="T45" s="298" t="s">
        <v>127</v>
      </c>
      <c r="U45" s="300"/>
      <c r="V45" s="2243"/>
      <c r="W45" s="2243"/>
      <c r="X45" s="2243"/>
      <c r="Y45" s="2243"/>
      <c r="Z45" s="2243"/>
      <c r="AA45" s="2244"/>
      <c r="AB45" s="2242" t="str">
        <f>INDEX(PT_DIFFERENTIATION_NTAR,MATCH(A45,PT_DIFFERENTIATION_NTAR_ID,0))</f>
        <v/>
      </c>
      <c r="AC45" s="2243"/>
      <c r="AD45" s="2243"/>
      <c r="AE45" s="2243"/>
      <c r="AF45" s="2243"/>
      <c r="AG45" s="2243"/>
      <c r="AH45" s="2243"/>
      <c r="AI45" s="2243"/>
      <c r="AJ45" s="2243"/>
      <c r="AK45" s="2243"/>
      <c r="AL45" s="2243"/>
      <c r="AM45" s="2243"/>
      <c r="AN45" s="2243"/>
      <c r="AO45" s="2243"/>
      <c r="AP45" s="2243"/>
      <c r="AQ45" s="2243"/>
      <c r="AR45" s="2243"/>
      <c r="AS45" s="2243"/>
      <c r="AT45" s="2244"/>
      <c r="AU45" s="1258" t="str">
        <f>IF(TEMPLATE_GROUP="P","По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г."&amp;" N 190-ФЗ ""О теплоснабжении"", теплоснабжающей организации, теплосетевой организации в ценовых зонах теплоснабжения. "&amp;"Указывается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
"&amp;"Указываются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"&amp;"цены (тарифа), источник официального опубликования решения об установлении цены (тарифа) в сфере теплоснабжения.","По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статьи"&amp;" 23 4 Федерального закона от 27 июля 2010 г. N 190-ФЗ ""О теплоснабжении"".
"&amp;"По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190-ФЗ"&amp;" Федерального закона ""О теплоснабжении"", теплоснабжающей организации, теплосетевой организации в ценовых зонах теплоснабжения.
"&amp;"В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индивидуальном"&amp;" порядке - в тыс.руб.; в отношении льготного размера платы за подключение - в руб.
"&amp;"Указывается наименование тарифа в случае расчета нескольких тарифов. 
"&amp;"В случае наличия нескольких тарифов информация по ним указывается в отдельных строках.")</f>
        <v>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
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 Федерального закона "О теплоснабжении", теплоснабжающей организации, теплосетевой организации в ценовых зонах теплоснабжения.
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 порядке - в тыс.руб.; в отношении льготного размера платы за подключение - в руб.
Указывается наименование тарифа в случае расчета нескольких тарифов. 
В случае наличия нескольких тарифов информация по ним указывается в отдельных строках.</v>
      </c>
      <c r="AW45" s="500"/>
      <c r="AX45" s="500" t="str">
        <f>IF(T45="","",T45)</f>
        <v>Наименование тарифа</v>
      </c>
      <c r="AY45" s="500"/>
      <c r="AZ45" s="500"/>
      <c r="BA45" s="1155">
        <v>102</v>
      </c>
    </row>
    <row customHeight="1" ht="22.049999999999997">
      <c r="A46" s="1363" t="s">
        <v>202</v>
      </c>
      <c r="B46" s="1363" t="s">
        <v>203</v>
      </c>
      <c r="C46" s="1363"/>
      <c r="D46" s="1363"/>
      <c r="E46" s="2259"/>
      <c r="F46" s="2258">
        <v>1</v>
      </c>
      <c r="G46" s="1363"/>
      <c r="H46" s="1363"/>
      <c r="I46" s="1363"/>
      <c r="J46" s="1363"/>
      <c r="K46" s="1363"/>
      <c r="L46" s="1364"/>
      <c r="M46" s="1365"/>
      <c r="N46" s="1365"/>
      <c r="O46" s="1365"/>
      <c r="P46" s="1410"/>
      <c r="Q46" s="1411"/>
      <c r="R46" s="353"/>
      <c r="S46" s="1336" t="str">
        <f>INDEX(PT_DIFFERENTIATION_NUM_TER,MATCH(B46,PT_DIFFERENTIATION_TER_ID,0))</f>
        <v>.</v>
      </c>
      <c r="T46" s="308" t="s">
        <v>399</v>
      </c>
      <c r="U46" s="300"/>
      <c r="V46" s="2243"/>
      <c r="W46" s="2243"/>
      <c r="X46" s="2243"/>
      <c r="Y46" s="2243"/>
      <c r="Z46" s="2243"/>
      <c r="AA46" s="2244"/>
      <c r="AB46" s="2242" t="str">
        <f>INDEX(PT_DIFFERENTIATION_TER,MATCH(B46,PT_DIFFERENTIATION_TER_ID,0))</f>
        <v/>
      </c>
      <c r="AC46" s="2243"/>
      <c r="AD46" s="2243"/>
      <c r="AE46" s="2243"/>
      <c r="AF46" s="2243"/>
      <c r="AG46" s="2243"/>
      <c r="AH46" s="2243"/>
      <c r="AI46" s="2243"/>
      <c r="AJ46" s="2243"/>
      <c r="AK46" s="2243"/>
      <c r="AL46" s="2243"/>
      <c r="AM46" s="2243"/>
      <c r="AN46" s="2243"/>
      <c r="AO46" s="2243"/>
      <c r="AP46" s="2243"/>
      <c r="AQ46" s="2243"/>
      <c r="AR46" s="2243"/>
      <c r="AS46" s="2243"/>
      <c r="AT46" s="2244"/>
      <c r="AU46" s="1258" t="s">
        <v>400</v>
      </c>
      <c r="AW46" s="500"/>
      <c r="AX46" s="500" t="str">
        <f>IF(T46="","",T46)</f>
        <v>Территория действия тарифа</v>
      </c>
      <c r="AY46" s="500"/>
      <c r="AZ46" s="500"/>
      <c r="BA46" s="1155">
        <v>21</v>
      </c>
    </row>
    <row customHeight="1" ht="24">
      <c r="A47" s="1363" t="s">
        <v>202</v>
      </c>
      <c r="B47" s="1363" t="s">
        <v>203</v>
      </c>
      <c r="C47" s="1363" t="s">
        <v>204</v>
      </c>
      <c r="D47" s="1363"/>
      <c r="E47" s="2259"/>
      <c r="F47" s="2259"/>
      <c r="G47" s="2258">
        <v>1</v>
      </c>
      <c r="H47" s="1363"/>
      <c r="I47" s="1363"/>
      <c r="J47" s="1363"/>
      <c r="K47" s="1363"/>
      <c r="L47" s="1364"/>
      <c r="M47" s="1365"/>
      <c r="N47" s="1365"/>
      <c r="O47" s="1365"/>
      <c r="P47" s="1412"/>
      <c r="Q47" s="1411"/>
      <c r="R47" s="353"/>
      <c r="S47" s="1336" t="str">
        <f>INDEX(PT_DIFFERENTIATION_NUM_CS,MATCH(C47,PT_DIFFERENTIATION_CS_ID,0))</f>
        <v>..</v>
      </c>
      <c r="T47" s="309" t="s">
        <v>401</v>
      </c>
      <c r="U47" s="300"/>
      <c r="V47" s="2243"/>
      <c r="W47" s="2243"/>
      <c r="X47" s="2243"/>
      <c r="Y47" s="2243"/>
      <c r="Z47" s="2243"/>
      <c r="AA47" s="2244"/>
      <c r="AB47" s="2242" t="str">
        <f>INDEX(PT_DIFFERENTIATION_CS,MATCH(C47,PT_DIFFERENTIATION_CS_ID,0))</f>
        <v/>
      </c>
      <c r="AC47" s="2243"/>
      <c r="AD47" s="2243"/>
      <c r="AE47" s="2243"/>
      <c r="AF47" s="2243"/>
      <c r="AG47" s="2243"/>
      <c r="AH47" s="2243"/>
      <c r="AI47" s="2243"/>
      <c r="AJ47" s="2243"/>
      <c r="AK47" s="2243"/>
      <c r="AL47" s="2243"/>
      <c r="AM47" s="2243"/>
      <c r="AN47" s="2243"/>
      <c r="AO47" s="2243"/>
      <c r="AP47" s="2243"/>
      <c r="AQ47" s="2243"/>
      <c r="AR47" s="2243"/>
      <c r="AS47" s="2243"/>
      <c r="AT47" s="2244"/>
      <c r="AU47" s="1258" t="s">
        <v>402</v>
      </c>
      <c r="AW47" s="500"/>
      <c r="AX47" s="500" t="str">
        <f>IF(T47="","",T47)</f>
        <v>Наименование системы теплоснабжения </v>
      </c>
      <c r="AY47" s="500"/>
      <c r="AZ47" s="500"/>
      <c r="BA47" s="1155">
        <v>23</v>
      </c>
    </row>
    <row customHeight="1" ht="21">
      <c r="A48" s="1363" t="s">
        <v>202</v>
      </c>
      <c r="B48" s="1363" t="s">
        <v>203</v>
      </c>
      <c r="C48" s="1363" t="s">
        <v>204</v>
      </c>
      <c r="D48" s="1363" t="s">
        <v>205</v>
      </c>
      <c r="E48" s="2259"/>
      <c r="F48" s="2259"/>
      <c r="G48" s="2259"/>
      <c r="H48" s="2258">
        <v>1</v>
      </c>
      <c r="I48" s="1363"/>
      <c r="J48" s="1363"/>
      <c r="K48" s="1363"/>
      <c r="L48" s="1364"/>
      <c r="M48" s="1365"/>
      <c r="N48" s="1365"/>
      <c r="O48" s="1365"/>
      <c r="P48" s="1412"/>
      <c r="Q48" s="1411"/>
      <c r="R48" s="353"/>
      <c r="S48" s="1336" t="str">
        <f>INDEX(PT_DIFFERENTIATION_NUM_IST_TE,MATCH(D48,PT_DIFFERENTIATION_IST_TE_ID,0))</f>
        <v>...</v>
      </c>
      <c r="T48" s="310" t="s">
        <v>403</v>
      </c>
      <c r="U48" s="300"/>
      <c r="V48" s="2243"/>
      <c r="W48" s="2243"/>
      <c r="X48" s="2243"/>
      <c r="Y48" s="2243"/>
      <c r="Z48" s="2243"/>
      <c r="AA48" s="2244"/>
      <c r="AB48" s="2242" t="str">
        <f>INDEX(PT_DIFFERENTIATION_IST_TE,MATCH(D48,PT_DIFFERENTIATION_IST_TE_ID,0))</f>
        <v/>
      </c>
      <c r="AC48" s="2243"/>
      <c r="AD48" s="2243"/>
      <c r="AE48" s="2243"/>
      <c r="AF48" s="2243"/>
      <c r="AG48" s="2243"/>
      <c r="AH48" s="2243"/>
      <c r="AI48" s="2243"/>
      <c r="AJ48" s="2243"/>
      <c r="AK48" s="2243"/>
      <c r="AL48" s="2243"/>
      <c r="AM48" s="2243"/>
      <c r="AN48" s="2243"/>
      <c r="AO48" s="2243"/>
      <c r="AP48" s="2243"/>
      <c r="AQ48" s="2243"/>
      <c r="AR48" s="2243"/>
      <c r="AS48" s="2243"/>
      <c r="AT48" s="2244"/>
      <c r="AU48" s="1258" t="s">
        <v>404</v>
      </c>
      <c r="AW48" s="500"/>
      <c r="AX48" s="500" t="str">
        <f>IF(T48="","",T48)</f>
        <v>Источник тепловой энергии  </v>
      </c>
      <c r="AY48" s="500"/>
      <c r="AZ48" s="500"/>
      <c r="BA48" s="1155">
        <v>20</v>
      </c>
    </row>
    <row s="1642" customFormat="1" customHeight="1" ht="1.05">
      <c r="A49" s="1343" t="s">
        <v>202</v>
      </c>
      <c r="B49" s="1343" t="s">
        <v>203</v>
      </c>
      <c r="C49" s="1343" t="s">
        <v>204</v>
      </c>
      <c r="D49" s="1343" t="s">
        <v>205</v>
      </c>
      <c r="E49" s="2259"/>
      <c r="F49" s="2259"/>
      <c r="G49" s="2259"/>
      <c r="H49" s="2259"/>
      <c r="I49" s="2256" t="str">
        <f>S48&amp;".1"</f>
        <v>....1</v>
      </c>
      <c r="J49" s="1343"/>
      <c r="K49" s="1343"/>
      <c r="L49" s="1346" t="s">
        <v>405</v>
      </c>
      <c r="M49" s="510"/>
      <c r="N49" s="510"/>
      <c r="O49" s="510"/>
      <c r="P49" s="2257">
        <v>1</v>
      </c>
      <c r="Q49" s="1331"/>
      <c r="R49" s="356"/>
      <c r="S49" s="1042"/>
      <c r="T49" s="1383"/>
      <c r="U49" s="1384"/>
      <c r="V49" s="2297"/>
      <c r="W49" s="2297"/>
      <c r="X49" s="2297"/>
      <c r="Y49" s="2297"/>
      <c r="Z49" s="2297"/>
      <c r="AA49" s="2298"/>
      <c r="AB49" s="2296"/>
      <c r="AC49" s="2297"/>
      <c r="AD49" s="2297"/>
      <c r="AE49" s="2297"/>
      <c r="AF49" s="2297"/>
      <c r="AG49" s="2297"/>
      <c r="AH49" s="2297"/>
      <c r="AI49" s="2297"/>
      <c r="AJ49" s="2297"/>
      <c r="AK49" s="2297"/>
      <c r="AL49" s="2297"/>
      <c r="AM49" s="2297"/>
      <c r="AN49" s="2297"/>
      <c r="AO49" s="2297"/>
      <c r="AP49" s="2297"/>
      <c r="AQ49" s="2297"/>
      <c r="AR49" s="2297"/>
      <c r="AS49" s="2297"/>
      <c r="AT49" s="2298"/>
      <c r="AU49" s="1385"/>
      <c r="AW49" s="500"/>
      <c r="AX49" s="500" t="str">
        <f>IF(T49="","",T49)</f>
        <v/>
      </c>
      <c r="AY49" s="500"/>
      <c r="AZ49" s="500"/>
      <c r="BA49" s="511">
        <v>1</v>
      </c>
    </row>
    <row s="1642" customFormat="1" customHeight="1" ht="1.05">
      <c r="A50" s="1343" t="s">
        <v>202</v>
      </c>
      <c r="B50" s="1343" t="s">
        <v>203</v>
      </c>
      <c r="C50" s="1343" t="s">
        <v>204</v>
      </c>
      <c r="D50" s="1343" t="s">
        <v>205</v>
      </c>
      <c r="E50" s="2259"/>
      <c r="F50" s="2259"/>
      <c r="G50" s="2259"/>
      <c r="H50" s="2259"/>
      <c r="I50" s="2286"/>
      <c r="J50" s="2256" t="str">
        <f>S48&amp;".1"</f>
        <v>....1</v>
      </c>
      <c r="K50" s="1343"/>
      <c r="L50" s="1346"/>
      <c r="M50" s="510"/>
      <c r="N50" s="510"/>
      <c r="O50" s="510"/>
      <c r="P50" s="2257"/>
      <c r="Q50" s="2257">
        <v>1</v>
      </c>
      <c r="R50" s="357"/>
      <c r="S50" s="1042"/>
      <c r="T50" s="1399"/>
      <c r="U50" s="1384"/>
      <c r="V50" s="2297"/>
      <c r="W50" s="2297"/>
      <c r="X50" s="2297"/>
      <c r="Y50" s="2297"/>
      <c r="Z50" s="2297"/>
      <c r="AA50" s="2298"/>
      <c r="AB50" s="2296"/>
      <c r="AC50" s="2297"/>
      <c r="AD50" s="2297"/>
      <c r="AE50" s="2297"/>
      <c r="AF50" s="2297"/>
      <c r="AG50" s="2297"/>
      <c r="AH50" s="2297"/>
      <c r="AI50" s="2297"/>
      <c r="AJ50" s="2297"/>
      <c r="AK50" s="2297"/>
      <c r="AL50" s="2297"/>
      <c r="AM50" s="2297"/>
      <c r="AN50" s="2297"/>
      <c r="AO50" s="2297"/>
      <c r="AP50" s="2297"/>
      <c r="AQ50" s="2297"/>
      <c r="AR50" s="2297"/>
      <c r="AS50" s="2297"/>
      <c r="AT50" s="2298"/>
      <c r="AU50" s="1385"/>
      <c r="AW50" s="500"/>
      <c r="AX50" s="500" t="str">
        <f>IF(T50="","",T50)</f>
        <v/>
      </c>
      <c r="AY50" s="500"/>
      <c r="AZ50" s="500"/>
      <c r="BA50" s="511">
        <v>1</v>
      </c>
    </row>
    <row customHeight="1" ht="22.049999999999997">
      <c r="A51" s="1363" t="s">
        <v>202</v>
      </c>
      <c r="B51" s="1363" t="s">
        <v>203</v>
      </c>
      <c r="C51" s="1363" t="s">
        <v>204</v>
      </c>
      <c r="D51" s="1363" t="s">
        <v>205</v>
      </c>
      <c r="E51" s="2259"/>
      <c r="F51" s="2259"/>
      <c r="G51" s="2259"/>
      <c r="H51" s="2259"/>
      <c r="I51" s="2286"/>
      <c r="J51" s="2286"/>
      <c r="K51" s="2256" t="str">
        <f>S48&amp;".1"</f>
        <v>....1</v>
      </c>
      <c r="L51" s="1364"/>
      <c r="P51" s="2257"/>
      <c r="Q51" s="2257"/>
      <c r="R51" s="357">
        <v>1</v>
      </c>
      <c r="S51" s="2341" t="str">
        <f>$K51</f>
        <v>....1</v>
      </c>
      <c r="T51" s="2344"/>
      <c r="U51" s="300"/>
      <c r="V51" s="751"/>
      <c r="W51" s="1257"/>
      <c r="X51" s="1734"/>
      <c r="Y51" s="1459" t="s">
        <v>66</v>
      </c>
      <c r="Z51" s="1734"/>
      <c r="AA51" s="1459" t="s">
        <v>66</v>
      </c>
      <c r="AB51" s="2107" t="s">
        <v>19</v>
      </c>
      <c r="AC51" s="2326"/>
      <c r="AD51" s="2205">
        <v>1</v>
      </c>
      <c r="AE51" s="2348" t="s">
        <v>22</v>
      </c>
      <c r="AF51" s="2107" t="s">
        <v>19</v>
      </c>
      <c r="AG51" s="2326"/>
      <c r="AH51" s="2205">
        <v>1</v>
      </c>
      <c r="AI51" s="2348" t="s">
        <v>22</v>
      </c>
      <c r="AJ51" s="2107" t="s">
        <v>19</v>
      </c>
      <c r="AK51" s="311"/>
      <c r="AL51" s="1337">
        <v>1</v>
      </c>
      <c r="AM51" s="1402"/>
      <c r="AN51" s="751"/>
      <c r="AO51" s="1257"/>
      <c r="AP51" s="1734"/>
      <c r="AQ51" s="1459" t="s">
        <v>66</v>
      </c>
      <c r="AR51" s="1734"/>
      <c r="AS51" s="1459" t="s">
        <v>66</v>
      </c>
      <c r="AT51" s="1348"/>
      <c r="AU51" s="2253" t="s">
        <v>482</v>
      </c>
      <c r="AV51" s="511">
        <f>STRCHECKDATE(V54:AT54)</f>
      </c>
      <c r="AW51" s="500"/>
      <c r="AX51" s="500" t="str">
        <f>IF(T51="","",T51)</f>
        <v/>
      </c>
      <c r="AY51" s="500"/>
      <c r="AZ51" s="500"/>
      <c r="BA51" s="1155">
        <v>21</v>
      </c>
    </row>
    <row customHeight="1" ht="11.549999999999999">
      <c r="A52" s="1363" t="s">
        <v>202</v>
      </c>
      <c r="B52" s="1363"/>
      <c r="C52" s="1363"/>
      <c r="D52" s="1363"/>
      <c r="E52" s="2259"/>
      <c r="F52" s="2259"/>
      <c r="G52" s="2259"/>
      <c r="H52" s="2259"/>
      <c r="I52" s="2286"/>
      <c r="J52" s="2286"/>
      <c r="K52" s="2256"/>
      <c r="L52" s="1364"/>
      <c r="P52" s="2257"/>
      <c r="Q52" s="2257"/>
      <c r="R52" s="357"/>
      <c r="S52" s="2342"/>
      <c r="T52" s="2345"/>
      <c r="U52" s="300"/>
      <c r="V52" s="1393"/>
      <c r="W52" s="1496"/>
      <c r="X52" s="1393"/>
      <c r="Y52" s="1393"/>
      <c r="Z52" s="1393"/>
      <c r="AA52" s="1393"/>
      <c r="AB52" s="2107"/>
      <c r="AC52" s="2326"/>
      <c r="AD52" s="2205"/>
      <c r="AE52" s="2348"/>
      <c r="AF52" s="2107"/>
      <c r="AG52" s="2326"/>
      <c r="AH52" s="2205"/>
      <c r="AI52" s="2348"/>
      <c r="AJ52" s="2107"/>
      <c r="AK52" s="316"/>
      <c r="AL52" s="416"/>
      <c r="AM52" s="415" t="s">
        <v>467</v>
      </c>
      <c r="AN52" s="1393"/>
      <c r="AO52" s="1496"/>
      <c r="AP52" s="1393"/>
      <c r="AQ52" s="1393"/>
      <c r="AR52" s="1393"/>
      <c r="AS52" s="1393"/>
      <c r="AT52" s="1390"/>
      <c r="AU52" s="2254"/>
      <c r="AW52" s="500"/>
      <c r="AX52" s="500"/>
      <c r="AY52" s="500"/>
      <c r="AZ52" s="500"/>
      <c r="BA52" s="1155">
        <v>11</v>
      </c>
    </row>
    <row customHeight="1" ht="11.549999999999999">
      <c r="A53" s="1363" t="s">
        <v>202</v>
      </c>
      <c r="B53" s="1363"/>
      <c r="C53" s="1363"/>
      <c r="D53" s="1363"/>
      <c r="E53" s="2259"/>
      <c r="F53" s="2259"/>
      <c r="G53" s="2259"/>
      <c r="H53" s="2259"/>
      <c r="I53" s="2286"/>
      <c r="J53" s="2286"/>
      <c r="K53" s="2256"/>
      <c r="L53" s="1364"/>
      <c r="P53" s="2257"/>
      <c r="Q53" s="2257"/>
      <c r="R53" s="357"/>
      <c r="S53" s="2342"/>
      <c r="T53" s="2345"/>
      <c r="U53" s="300"/>
      <c r="V53" s="1393"/>
      <c r="W53" s="1496"/>
      <c r="X53" s="1393"/>
      <c r="Y53" s="1393"/>
      <c r="Z53" s="1393"/>
      <c r="AA53" s="1393"/>
      <c r="AB53" s="2107"/>
      <c r="AC53" s="2326"/>
      <c r="AD53" s="2205"/>
      <c r="AE53" s="2348"/>
      <c r="AF53" s="2107"/>
      <c r="AG53" s="294"/>
      <c r="AH53" s="415"/>
      <c r="AI53" s="415" t="s">
        <v>468</v>
      </c>
      <c r="AJ53" s="1393"/>
      <c r="AK53" s="1393"/>
      <c r="AL53" s="1393"/>
      <c r="AM53" s="1393"/>
      <c r="AN53" s="1393"/>
      <c r="AO53" s="1496"/>
      <c r="AP53" s="1393"/>
      <c r="AQ53" s="1393"/>
      <c r="AR53" s="1393"/>
      <c r="AS53" s="1393"/>
      <c r="AT53" s="1390"/>
      <c r="AU53" s="2254"/>
      <c r="AW53" s="500"/>
      <c r="AX53" s="500"/>
      <c r="AY53" s="500"/>
      <c r="AZ53" s="500"/>
      <c r="BA53" s="1155">
        <v>11</v>
      </c>
    </row>
    <row customHeight="1" ht="11.549999999999999">
      <c r="A54" s="1363" t="s">
        <v>202</v>
      </c>
      <c r="B54" s="1363" t="s">
        <v>203</v>
      </c>
      <c r="C54" s="1363" t="s">
        <v>204</v>
      </c>
      <c r="D54" s="1363" t="s">
        <v>205</v>
      </c>
      <c r="E54" s="2259"/>
      <c r="F54" s="2259"/>
      <c r="G54" s="2259"/>
      <c r="H54" s="2259"/>
      <c r="I54" s="2286"/>
      <c r="J54" s="2286"/>
      <c r="K54" s="2256"/>
      <c r="L54" s="1364"/>
      <c r="P54" s="2257"/>
      <c r="Q54" s="2257"/>
      <c r="R54" s="357"/>
      <c r="S54" s="2343"/>
      <c r="T54" s="2346"/>
      <c r="U54" s="300"/>
      <c r="V54" s="1393"/>
      <c r="W54" s="1394" t="str">
        <f>X51&amp;"-"&amp;Z51</f>
        <v>-</v>
      </c>
      <c r="X54" s="1393"/>
      <c r="Y54" s="1393"/>
      <c r="Z54" s="1393"/>
      <c r="AA54" s="1393"/>
      <c r="AB54" s="2107"/>
      <c r="AC54" s="312"/>
      <c r="AD54" s="314"/>
      <c r="AE54" s="415" t="s">
        <v>469</v>
      </c>
      <c r="AF54" s="1393"/>
      <c r="AG54" s="1393"/>
      <c r="AH54" s="1393"/>
      <c r="AI54" s="1393"/>
      <c r="AJ54" s="1393"/>
      <c r="AK54" s="1393"/>
      <c r="AL54" s="1393"/>
      <c r="AM54" s="1393"/>
      <c r="AN54" s="1393"/>
      <c r="AO54" s="1394" t="str">
        <f>AP51&amp;"-"&amp;AR51</f>
        <v>-</v>
      </c>
      <c r="AP54" s="1393"/>
      <c r="AQ54" s="1393"/>
      <c r="AR54" s="1393"/>
      <c r="AS54" s="1393"/>
      <c r="AT54" s="1349"/>
      <c r="AU54" s="2254"/>
      <c r="AW54" s="500"/>
      <c r="AX54" s="500" t="str">
        <f>IF(T54="","",T54)</f>
        <v/>
      </c>
      <c r="AY54" s="500"/>
      <c r="AZ54" s="500"/>
      <c r="BA54" s="1155">
        <v>11</v>
      </c>
    </row>
    <row customHeight="1" ht="11.549999999999999">
      <c r="A55" s="1363" t="s">
        <v>202</v>
      </c>
      <c r="B55" s="1363" t="s">
        <v>203</v>
      </c>
      <c r="C55" s="1363" t="s">
        <v>204</v>
      </c>
      <c r="D55" s="1363" t="s">
        <v>205</v>
      </c>
      <c r="E55" s="2259"/>
      <c r="F55" s="2259"/>
      <c r="G55" s="2259"/>
      <c r="H55" s="2259"/>
      <c r="I55" s="2286"/>
      <c r="J55" s="2256"/>
      <c r="K55" s="1363"/>
      <c r="L55" s="1364"/>
      <c r="P55" s="2257"/>
      <c r="Q55" s="2257"/>
      <c r="R55" s="356"/>
      <c r="S55" s="1278"/>
      <c r="T55" s="287" t="s">
        <v>470</v>
      </c>
      <c r="U55" s="367"/>
      <c r="V55" s="367"/>
      <c r="W55" s="367"/>
      <c r="X55" s="367"/>
      <c r="Y55" s="367"/>
      <c r="Z55" s="367"/>
      <c r="AA55" s="324"/>
      <c r="AB55" s="1505"/>
      <c r="AC55" s="367"/>
      <c r="AD55" s="367"/>
      <c r="AE55" s="367"/>
      <c r="AF55" s="367"/>
      <c r="AG55" s="367"/>
      <c r="AH55" s="367"/>
      <c r="AI55" s="367"/>
      <c r="AJ55" s="367"/>
      <c r="AK55" s="367"/>
      <c r="AL55" s="367"/>
      <c r="AM55" s="367"/>
      <c r="AN55" s="367"/>
      <c r="AO55" s="367"/>
      <c r="AP55" s="367"/>
      <c r="AQ55" s="367"/>
      <c r="AR55" s="367"/>
      <c r="AS55" s="367"/>
      <c r="AT55" s="324"/>
      <c r="AU55" s="2255"/>
      <c r="AW55" s="500"/>
      <c r="AX55" s="500" t="str">
        <f>IF(T55="","",T55)</f>
        <v>Добавить строку</v>
      </c>
      <c r="AY55" s="500"/>
      <c r="AZ55" s="500"/>
      <c r="BA55" s="1155">
        <v>11</v>
      </c>
    </row>
    <row s="1642" customFormat="1" customHeight="1" ht="1.05">
      <c r="A56" s="1343" t="s">
        <v>202</v>
      </c>
      <c r="B56" s="1343" t="s">
        <v>203</v>
      </c>
      <c r="C56" s="1343" t="s">
        <v>204</v>
      </c>
      <c r="D56" s="1343" t="s">
        <v>205</v>
      </c>
      <c r="E56" s="2259"/>
      <c r="F56" s="2259"/>
      <c r="G56" s="2259"/>
      <c r="H56" s="2259"/>
      <c r="I56" s="2256"/>
      <c r="J56" s="1343"/>
      <c r="K56" s="1343"/>
      <c r="L56" s="1346"/>
      <c r="M56" s="510"/>
      <c r="N56" s="510"/>
      <c r="O56" s="510"/>
      <c r="P56" s="2257"/>
      <c r="Q56" s="1331"/>
      <c r="R56" s="356"/>
      <c r="S56" s="1386"/>
      <c r="T56" s="1387" t="s">
        <v>414</v>
      </c>
      <c r="U56" s="1388"/>
      <c r="V56" s="1388"/>
      <c r="W56" s="1388"/>
      <c r="X56" s="1388"/>
      <c r="Y56" s="1388"/>
      <c r="Z56" s="1388"/>
      <c r="AA56" s="1388"/>
      <c r="AB56" s="1388"/>
      <c r="AC56" s="1388"/>
      <c r="AD56" s="1388"/>
      <c r="AE56" s="1388"/>
      <c r="AF56" s="1388"/>
      <c r="AG56" s="1388"/>
      <c r="AH56" s="1388"/>
      <c r="AI56" s="1388"/>
      <c r="AJ56" s="1388"/>
      <c r="AK56" s="1388"/>
      <c r="AL56" s="1388"/>
      <c r="AM56" s="1388"/>
      <c r="AN56" s="1388"/>
      <c r="AO56" s="1388"/>
      <c r="AP56" s="1388"/>
      <c r="AQ56" s="1388"/>
      <c r="AR56" s="1388"/>
      <c r="AS56" s="1388"/>
      <c r="AT56" s="1388"/>
      <c r="AU56" s="1389"/>
      <c r="AW56" s="500"/>
      <c r="AX56" s="500" t="str">
        <f>IF(T56="","",T56)</f>
        <v>Добавить группу потребителей</v>
      </c>
      <c r="AY56" s="500"/>
      <c r="AZ56" s="500"/>
      <c r="BA56" s="511">
        <v>1</v>
      </c>
    </row>
    <row s="1641" customFormat="1" customHeight="1" ht="1.05">
      <c r="A57" s="1343" t="s">
        <v>202</v>
      </c>
      <c r="B57" s="1343" t="s">
        <v>203</v>
      </c>
      <c r="C57" s="1343" t="s">
        <v>204</v>
      </c>
      <c r="D57" s="1343" t="s">
        <v>205</v>
      </c>
      <c r="E57" s="2259"/>
      <c r="F57" s="2259"/>
      <c r="G57" s="2259"/>
      <c r="H57" s="2258"/>
      <c r="I57" s="1343"/>
      <c r="J57" s="1343"/>
      <c r="K57" s="1343"/>
      <c r="L57" s="1346"/>
      <c r="M57" s="1315"/>
      <c r="N57" s="1315"/>
      <c r="O57" s="518"/>
      <c r="P57" s="380"/>
      <c r="Q57" s="1344"/>
      <c r="R57" s="1400"/>
      <c r="S57" s="1386"/>
      <c r="T57" s="1387"/>
      <c r="U57" s="1388"/>
      <c r="V57" s="1388"/>
      <c r="W57" s="1388"/>
      <c r="X57" s="1388"/>
      <c r="Y57" s="1388"/>
      <c r="Z57" s="1388"/>
      <c r="AA57" s="1388"/>
      <c r="AB57" s="1388"/>
      <c r="AC57" s="1388"/>
      <c r="AD57" s="1388"/>
      <c r="AE57" s="1388"/>
      <c r="AF57" s="1388"/>
      <c r="AG57" s="1388"/>
      <c r="AH57" s="1388"/>
      <c r="AI57" s="1388"/>
      <c r="AJ57" s="1388"/>
      <c r="AK57" s="1388"/>
      <c r="AL57" s="1388"/>
      <c r="AM57" s="1388"/>
      <c r="AN57" s="1388"/>
      <c r="AO57" s="1388"/>
      <c r="AP57" s="1388"/>
      <c r="AQ57" s="1388"/>
      <c r="AR57" s="1388"/>
      <c r="AS57" s="1388"/>
      <c r="AT57" s="1388"/>
      <c r="AU57" s="1389"/>
      <c r="AV57" s="511"/>
      <c r="AW57" s="500"/>
      <c r="AX57" s="500" t="str">
        <f>IF(T57="","",T57)</f>
        <v/>
      </c>
      <c r="AY57" s="500"/>
      <c r="AZ57" s="500"/>
      <c r="BA57" s="496">
        <v>1</v>
      </c>
    </row>
    <row s="1642" customFormat="1" customHeight="1" ht="1.05">
      <c r="A58" s="1343" t="s">
        <v>202</v>
      </c>
      <c r="B58" s="1343" t="s">
        <v>203</v>
      </c>
      <c r="C58" s="1343" t="s">
        <v>204</v>
      </c>
      <c r="D58" s="1314"/>
      <c r="E58" s="2259"/>
      <c r="F58" s="2259"/>
      <c r="G58" s="2258"/>
      <c r="H58" s="1314"/>
      <c r="I58" s="1314"/>
      <c r="J58" s="1314"/>
      <c r="K58" s="1314"/>
      <c r="L58" s="1339"/>
      <c r="M58" s="1315"/>
      <c r="N58" s="1315"/>
      <c r="P58" s="1316"/>
      <c r="Q58" s="1317"/>
      <c r="R58" s="1316"/>
      <c r="S58" s="1322"/>
      <c r="T58" s="1325" t="s">
        <v>416</v>
      </c>
      <c r="U58" s="1324"/>
      <c r="V58" s="1324"/>
      <c r="W58" s="1324"/>
      <c r="X58" s="1324"/>
      <c r="Y58" s="1324"/>
      <c r="Z58" s="1324"/>
      <c r="AA58" s="1324"/>
      <c r="AB58" s="1324"/>
      <c r="AC58" s="1324"/>
      <c r="AD58" s="1324"/>
      <c r="AE58" s="1324"/>
      <c r="AF58" s="1324"/>
      <c r="AG58" s="1324"/>
      <c r="AH58" s="1324"/>
      <c r="AI58" s="1324"/>
      <c r="AJ58" s="1324"/>
      <c r="AK58" s="1324"/>
      <c r="AL58" s="1324"/>
      <c r="AM58" s="1324"/>
      <c r="AN58" s="1324"/>
      <c r="AO58" s="1324"/>
      <c r="AP58" s="1324"/>
      <c r="AQ58" s="1324"/>
      <c r="AR58" s="1324"/>
      <c r="AS58" s="1324"/>
      <c r="AT58" s="1324"/>
      <c r="AU58" s="1324"/>
      <c r="AW58" s="789"/>
      <c r="AX58" s="789" t="str">
        <f>IF(T58="","",T58)</f>
        <v>Добавить источник для дифференциации</v>
      </c>
      <c r="AY58" s="789"/>
      <c r="AZ58" s="789"/>
      <c r="BA58" s="518">
        <v>1</v>
      </c>
    </row>
    <row s="1642" customFormat="1" customHeight="1" ht="1.05">
      <c r="A59" s="1343" t="s">
        <v>202</v>
      </c>
      <c r="B59" s="1343" t="s">
        <v>203</v>
      </c>
      <c r="C59" s="1314"/>
      <c r="D59" s="1314"/>
      <c r="E59" s="2259"/>
      <c r="F59" s="2258"/>
      <c r="G59" s="1314"/>
      <c r="H59" s="1314"/>
      <c r="I59" s="1314"/>
      <c r="J59" s="1314"/>
      <c r="K59" s="1314"/>
      <c r="L59" s="1339"/>
      <c r="M59" s="1321"/>
      <c r="N59" s="1321"/>
      <c r="P59" s="1316"/>
      <c r="Q59" s="1317"/>
      <c r="R59" s="1316"/>
      <c r="S59" s="1322"/>
      <c r="T59" s="1325" t="s">
        <v>417</v>
      </c>
      <c r="U59" s="1324"/>
      <c r="V59" s="1324"/>
      <c r="W59" s="1324"/>
      <c r="X59" s="1324"/>
      <c r="Y59" s="1324"/>
      <c r="Z59" s="1324"/>
      <c r="AA59" s="1324"/>
      <c r="AB59" s="1324"/>
      <c r="AC59" s="1324"/>
      <c r="AD59" s="1324"/>
      <c r="AE59" s="1324"/>
      <c r="AF59" s="1324"/>
      <c r="AG59" s="1324"/>
      <c r="AH59" s="1324"/>
      <c r="AI59" s="1324"/>
      <c r="AJ59" s="1324"/>
      <c r="AK59" s="1324"/>
      <c r="AL59" s="1324"/>
      <c r="AM59" s="1324"/>
      <c r="AN59" s="1324"/>
      <c r="AO59" s="1324"/>
      <c r="AP59" s="1324"/>
      <c r="AQ59" s="1324"/>
      <c r="AR59" s="1324"/>
      <c r="AS59" s="1324"/>
      <c r="AT59" s="1324"/>
      <c r="AU59" s="1324"/>
      <c r="AW59" s="789"/>
      <c r="AX59" s="789" t="str">
        <f>IF(T59="","",T59)</f>
        <v>Добавить централизованную систему для дифференциации</v>
      </c>
      <c r="AY59" s="789"/>
      <c r="AZ59" s="789"/>
      <c r="BA59" s="518">
        <v>1</v>
      </c>
    </row>
    <row s="1642" customFormat="1" customHeight="1" ht="1.05">
      <c r="A60" s="1343" t="s">
        <v>202</v>
      </c>
      <c r="B60" s="1343"/>
      <c r="C60" s="1343"/>
      <c r="D60" s="1343"/>
      <c r="E60" s="2259"/>
      <c r="F60" s="1343"/>
      <c r="G60" s="1343"/>
      <c r="H60" s="1343"/>
      <c r="I60" s="1343"/>
      <c r="J60" s="1343"/>
      <c r="K60" s="1343"/>
      <c r="L60" s="1346"/>
      <c r="M60" s="1321"/>
      <c r="N60" s="1321"/>
      <c r="O60" s="518"/>
      <c r="P60" s="380"/>
      <c r="Q60" s="1344"/>
      <c r="R60" s="380"/>
      <c r="S60" s="1322"/>
      <c r="T60" s="1325" t="s">
        <v>418</v>
      </c>
      <c r="U60" s="1324"/>
      <c r="V60" s="1324"/>
      <c r="W60" s="1324"/>
      <c r="X60" s="1324"/>
      <c r="Y60" s="1324"/>
      <c r="Z60" s="1324"/>
      <c r="AA60" s="1324"/>
      <c r="AB60" s="1324"/>
      <c r="AC60" s="1324"/>
      <c r="AD60" s="1324"/>
      <c r="AE60" s="1324"/>
      <c r="AF60" s="1324"/>
      <c r="AG60" s="1324"/>
      <c r="AH60" s="1324"/>
      <c r="AI60" s="1324"/>
      <c r="AJ60" s="1324"/>
      <c r="AK60" s="1324"/>
      <c r="AL60" s="1324"/>
      <c r="AM60" s="1324"/>
      <c r="AN60" s="1324"/>
      <c r="AO60" s="1324"/>
      <c r="AP60" s="1324"/>
      <c r="AQ60" s="1324"/>
      <c r="AR60" s="1324"/>
      <c r="AS60" s="1324"/>
      <c r="AT60" s="1324"/>
      <c r="AU60" s="1324"/>
      <c r="AW60" s="500"/>
      <c r="AX60" s="500" t="str">
        <f>IF(T60="","",T60)</f>
        <v>Добавить территорию для дифференциации</v>
      </c>
      <c r="AY60" s="500"/>
      <c r="AZ60" s="500"/>
      <c r="BA60" s="511">
        <v>1</v>
      </c>
    </row>
    <row s="1642" customFormat="1" customHeight="1" ht="1.05">
      <c r="A61" s="1343" t="s">
        <v>202</v>
      </c>
      <c r="B61" s="1343"/>
      <c r="C61" s="1343"/>
      <c r="D61" s="1343"/>
      <c r="E61" s="2258"/>
      <c r="F61" s="1343"/>
      <c r="G61" s="1343"/>
      <c r="H61" s="1343"/>
      <c r="I61" s="1343"/>
      <c r="J61" s="1343"/>
      <c r="K61" s="1343"/>
      <c r="L61" s="1346"/>
      <c r="M61" s="1321"/>
      <c r="N61" s="1321"/>
      <c r="O61" s="518"/>
      <c r="P61" s="380"/>
      <c r="Q61" s="1344"/>
      <c r="R61" s="380"/>
      <c r="S61" s="1322"/>
      <c r="T61" s="1325" t="s">
        <v>418</v>
      </c>
      <c r="U61" s="1324"/>
      <c r="V61" s="1324"/>
      <c r="W61" s="1324"/>
      <c r="X61" s="1324"/>
      <c r="Y61" s="1324"/>
      <c r="Z61" s="1324"/>
      <c r="AA61" s="1324"/>
      <c r="AB61" s="1324"/>
      <c r="AC61" s="1324"/>
      <c r="AD61" s="1324"/>
      <c r="AE61" s="1324"/>
      <c r="AF61" s="1324"/>
      <c r="AG61" s="1324"/>
      <c r="AH61" s="1324"/>
      <c r="AI61" s="1324"/>
      <c r="AJ61" s="1324"/>
      <c r="AK61" s="1324"/>
      <c r="AL61" s="1324"/>
      <c r="AM61" s="1324"/>
      <c r="AN61" s="1324"/>
      <c r="AO61" s="1324"/>
      <c r="AP61" s="1324"/>
      <c r="AQ61" s="1324"/>
      <c r="AR61" s="1324"/>
      <c r="AS61" s="1324"/>
      <c r="AT61" s="1324"/>
      <c r="AU61" s="1324"/>
      <c r="AW61" s="500"/>
      <c r="AX61" s="500" t="str">
        <f>IF(T61="","",T61)</f>
        <v>Добавить территорию для дифференциации</v>
      </c>
      <c r="AY61" s="500"/>
      <c r="AZ61" s="500"/>
      <c r="BA61" s="511">
        <v>1</v>
      </c>
    </row>
    <row s="1642" customFormat="1" customHeight="1" ht="1.05">
      <c r="A62" s="1314"/>
      <c r="B62" s="1314"/>
      <c r="C62" s="1314"/>
      <c r="D62" s="1314"/>
      <c r="E62" s="1343"/>
      <c r="F62" s="1314"/>
      <c r="G62" s="1314"/>
      <c r="H62" s="1314"/>
      <c r="I62" s="1314"/>
      <c r="J62" s="1314"/>
      <c r="K62" s="1314"/>
      <c r="L62" s="1339"/>
      <c r="M62" s="1321"/>
      <c r="N62" s="1321"/>
      <c r="P62" s="1316"/>
      <c r="Q62" s="1317"/>
      <c r="R62" s="1316"/>
      <c r="S62" s="1322"/>
      <c r="T62" s="1325" t="s">
        <v>450</v>
      </c>
      <c r="U62" s="1324"/>
      <c r="V62" s="1324"/>
      <c r="W62" s="1324"/>
      <c r="X62" s="1324"/>
      <c r="Y62" s="1324"/>
      <c r="Z62" s="1324"/>
      <c r="AA62" s="1324"/>
      <c r="AB62" s="1324"/>
      <c r="AC62" s="1324"/>
      <c r="AD62" s="1324"/>
      <c r="AE62" s="1324"/>
      <c r="AF62" s="1324"/>
      <c r="AG62" s="1324"/>
      <c r="AH62" s="1324"/>
      <c r="AI62" s="1324"/>
      <c r="AJ62" s="1324"/>
      <c r="AK62" s="1324"/>
      <c r="AL62" s="1324"/>
      <c r="AM62" s="1324"/>
      <c r="AN62" s="1324"/>
      <c r="AO62" s="1324"/>
      <c r="AP62" s="1324"/>
      <c r="AQ62" s="1324"/>
      <c r="AR62" s="1324"/>
      <c r="AS62" s="1324"/>
      <c r="AT62" s="1324"/>
      <c r="AU62" s="1324"/>
      <c r="AW62" s="789"/>
      <c r="AX62" s="789" t="str">
        <f>IF(T62="","",T62)</f>
        <v>Добавить наименование тарифа</v>
      </c>
      <c r="AY62" s="789"/>
      <c r="AZ62" s="789"/>
      <c r="BA62" s="518">
        <v>1</v>
      </c>
    </row>
    <row customHeight="1" ht="11.549999999999999">
      <c r="M63" s="1160"/>
      <c r="N63" s="1160"/>
      <c r="O63" s="537"/>
      <c r="P63" s="1160"/>
      <c r="Q63" s="1160"/>
      <c r="R63" s="1155"/>
      <c r="S63" s="1155"/>
      <c r="AV63" s="1155"/>
      <c r="AW63" s="1155"/>
      <c r="AX63" s="1155"/>
      <c r="AY63" s="1155"/>
      <c r="AZ63" s="1155"/>
      <c r="BA63" s="1155">
        <v>11</v>
      </c>
    </row>
    <row customHeight="1" ht="19.95">
      <c r="O64" s="537"/>
      <c r="S64" s="1253"/>
      <c r="T64" s="2285"/>
      <c r="U64" s="2285"/>
      <c r="V64" s="2285"/>
      <c r="W64" s="2285"/>
      <c r="X64" s="2285"/>
      <c r="Y64" s="2285"/>
      <c r="Z64" s="2285"/>
      <c r="AA64" s="2285"/>
      <c r="AB64" s="2285"/>
      <c r="AC64" s="2285"/>
      <c r="AD64" s="2285"/>
      <c r="AE64" s="2285"/>
      <c r="AF64" s="2285"/>
      <c r="AG64" s="2285"/>
      <c r="AH64" s="2285"/>
      <c r="AI64" s="2285"/>
      <c r="AJ64" s="2285"/>
      <c r="AK64" s="2285"/>
      <c r="AL64" s="2285"/>
      <c r="AM64" s="2285"/>
      <c r="AN64" s="2285"/>
      <c r="AO64" s="2285"/>
      <c r="AP64" s="2285"/>
      <c r="AQ64" s="2285"/>
      <c r="AR64" s="2285"/>
      <c r="AS64" s="2285"/>
      <c r="AT64" s="2285"/>
      <c r="AU64" s="2285"/>
      <c r="BA64" s="1155">
        <v>19</v>
      </c>
    </row>
    <row customHeight="1" ht="21">
      <c r="O65" s="537"/>
      <c r="T65" s="2285"/>
      <c r="U65" s="2285"/>
      <c r="V65" s="2285"/>
      <c r="W65" s="2285"/>
      <c r="X65" s="2285"/>
      <c r="Y65" s="2285"/>
      <c r="Z65" s="2285"/>
      <c r="AA65" s="2285"/>
      <c r="AB65" s="2285"/>
      <c r="AC65" s="2285"/>
      <c r="AD65" s="2285"/>
      <c r="AE65" s="2285"/>
      <c r="AF65" s="2285"/>
      <c r="AG65" s="2285"/>
      <c r="AH65" s="2285"/>
      <c r="AI65" s="2285"/>
      <c r="AJ65" s="2285"/>
      <c r="AK65" s="2285"/>
      <c r="AL65" s="2285"/>
      <c r="AM65" s="2285"/>
      <c r="AN65" s="2285"/>
      <c r="AO65" s="2285"/>
      <c r="AP65" s="2285"/>
      <c r="AQ65" s="2285"/>
      <c r="AR65" s="2285"/>
      <c r="AS65" s="2285"/>
      <c r="AT65" s="2285"/>
      <c r="AU65" s="2285"/>
      <c r="BA65" s="1155">
        <v>20</v>
      </c>
    </row>
    <row customHeight="1" ht="14.699999999999998">
      <c r="O66" s="537"/>
      <c r="T66" s="1333"/>
      <c r="U66" s="1333"/>
      <c r="V66" s="1333"/>
      <c r="W66" s="1333"/>
      <c r="X66" s="1333"/>
      <c r="Y66" s="1333"/>
      <c r="Z66" s="1333"/>
      <c r="AA66" s="1333"/>
      <c r="AB66" s="1333"/>
      <c r="AC66" s="1333"/>
      <c r="AD66" s="1333"/>
      <c r="AE66" s="1333"/>
      <c r="AF66" s="1333"/>
      <c r="AG66" s="1333"/>
      <c r="AH66" s="1333"/>
      <c r="AI66" s="1333"/>
      <c r="AJ66" s="1333"/>
      <c r="AK66" s="1333"/>
      <c r="AL66" s="1333"/>
      <c r="AM66" s="1333"/>
      <c r="AN66" s="1333"/>
      <c r="AO66" s="1333"/>
      <c r="AP66" s="1333"/>
      <c r="AQ66" s="1333"/>
      <c r="AR66" s="1333"/>
      <c r="AS66" s="1333"/>
      <c r="AT66" s="1333"/>
      <c r="AU66" s="1333"/>
      <c r="BA66" s="1155">
        <v>14</v>
      </c>
    </row>
    <row customHeight="1" ht="19.95">
      <c r="O67" s="537"/>
      <c r="T67" s="2285"/>
      <c r="U67" s="2285"/>
      <c r="V67" s="2285"/>
      <c r="W67" s="2285"/>
      <c r="X67" s="2285"/>
      <c r="Y67" s="2285"/>
      <c r="Z67" s="2285"/>
      <c r="AA67" s="2285"/>
      <c r="AB67" s="2285"/>
      <c r="AC67" s="2285"/>
      <c r="AD67" s="2285"/>
      <c r="AE67" s="2285"/>
      <c r="AF67" s="2285"/>
      <c r="AG67" s="2285"/>
      <c r="AH67" s="2285"/>
      <c r="AI67" s="2285"/>
      <c r="AJ67" s="2285"/>
      <c r="AK67" s="2285"/>
      <c r="AL67" s="2285"/>
      <c r="AM67" s="2285"/>
      <c r="AN67" s="2285"/>
      <c r="AO67" s="2285"/>
      <c r="AP67" s="2285"/>
      <c r="AQ67" s="2285"/>
      <c r="AR67" s="2285"/>
      <c r="AS67" s="2285"/>
      <c r="AT67" s="2285"/>
      <c r="AU67" s="2285"/>
      <c r="BA67" s="1155">
        <v>19</v>
      </c>
    </row>
    <row customHeight="1" ht="16.8">
      <c r="O68" s="537"/>
      <c r="T68" s="2285"/>
      <c r="U68" s="2285"/>
      <c r="V68" s="2285"/>
      <c r="W68" s="2285"/>
      <c r="X68" s="2285"/>
      <c r="Y68" s="2285"/>
      <c r="Z68" s="2285"/>
      <c r="AA68" s="2285"/>
      <c r="AB68" s="2285"/>
      <c r="AC68" s="2285"/>
      <c r="AD68" s="2285"/>
      <c r="AE68" s="2285"/>
      <c r="AF68" s="2285"/>
      <c r="AG68" s="2285"/>
      <c r="AH68" s="2285"/>
      <c r="AI68" s="2285"/>
      <c r="AJ68" s="2285"/>
      <c r="AK68" s="2285"/>
      <c r="AL68" s="2285"/>
      <c r="AM68" s="2285"/>
      <c r="AN68" s="2285"/>
      <c r="AO68" s="2285"/>
      <c r="AP68" s="2285"/>
      <c r="AQ68" s="2285"/>
      <c r="AR68" s="2285"/>
      <c r="AS68" s="2285"/>
      <c r="AT68" s="2285"/>
      <c r="AU68" s="2285"/>
      <c r="BA68" s="1155">
        <v>16</v>
      </c>
    </row>
    <row customHeight="1" ht="14.699999999999998">
      <c r="O69" s="537"/>
      <c r="BA69" s="1155">
        <v>14</v>
      </c>
    </row>
    <row customHeight="1" ht="22.5" hidden="1">
      <c r="A70" s="1160" t="s">
        <v>82</v>
      </c>
      <c r="B70" s="1160">
        <v>0</v>
      </c>
      <c r="C70" s="1160">
        <v>0</v>
      </c>
      <c r="D70" s="1160">
        <v>0</v>
      </c>
      <c r="E70" s="1160">
        <v>0</v>
      </c>
      <c r="F70" s="1160">
        <v>0</v>
      </c>
      <c r="G70" s="1160">
        <v>0</v>
      </c>
      <c r="H70" s="1160">
        <v>0</v>
      </c>
      <c r="I70" s="1160">
        <v>0</v>
      </c>
      <c r="J70" s="1160">
        <v>0</v>
      </c>
      <c r="K70" s="1160">
        <v>0</v>
      </c>
      <c r="L70" s="1329">
        <v>0</v>
      </c>
      <c r="M70" s="1362">
        <v>0</v>
      </c>
      <c r="N70" s="1362">
        <v>0</v>
      </c>
      <c r="O70" s="1362">
        <v>0</v>
      </c>
      <c r="P70" s="1362">
        <v>3</v>
      </c>
      <c r="Q70" s="1371">
        <v>3</v>
      </c>
      <c r="R70" s="344">
        <v>3</v>
      </c>
      <c r="S70" s="581">
        <v>12</v>
      </c>
      <c r="T70" s="1155">
        <v>31</v>
      </c>
      <c r="U70" s="1155">
        <v>0</v>
      </c>
      <c r="V70" s="1155">
        <v>0</v>
      </c>
      <c r="W70" s="1155">
        <v>0</v>
      </c>
      <c r="X70" s="1155">
        <v>0</v>
      </c>
      <c r="Y70" s="1155">
        <v>0</v>
      </c>
      <c r="Z70" s="1155">
        <v>0</v>
      </c>
      <c r="AA70" s="1155">
        <v>0</v>
      </c>
      <c r="AB70" s="1155">
        <v>5</v>
      </c>
      <c r="AC70" s="1155">
        <v>3</v>
      </c>
      <c r="AD70" s="1155">
        <v>3</v>
      </c>
      <c r="AE70" s="1155">
        <v>24</v>
      </c>
      <c r="AF70" s="1155">
        <v>3</v>
      </c>
      <c r="AG70" s="1155">
        <v>3</v>
      </c>
      <c r="AH70" s="1155">
        <v>3</v>
      </c>
      <c r="AI70" s="1155">
        <v>24</v>
      </c>
      <c r="AJ70" s="1155">
        <v>3</v>
      </c>
      <c r="AK70" s="1155">
        <v>3</v>
      </c>
      <c r="AL70" s="1155">
        <v>3</v>
      </c>
      <c r="AM70" s="1155">
        <v>18</v>
      </c>
      <c r="AN70" s="1155">
        <v>21</v>
      </c>
      <c r="AO70" s="1155">
        <v>21</v>
      </c>
      <c r="AP70" s="1155">
        <v>11</v>
      </c>
      <c r="AQ70" s="1155">
        <v>3</v>
      </c>
      <c r="AR70" s="1155">
        <v>11</v>
      </c>
      <c r="AS70" s="1155">
        <v>8</v>
      </c>
      <c r="AT70" s="1155">
        <v>4</v>
      </c>
      <c r="AU70" s="1155">
        <v>115</v>
      </c>
      <c r="AV70" s="511">
        <v>10</v>
      </c>
      <c r="AW70" s="511">
        <v>10</v>
      </c>
      <c r="AX70" s="511">
        <v>10</v>
      </c>
      <c r="AY70" s="511">
        <v>10</v>
      </c>
      <c r="AZ70" s="511">
        <v>10</v>
      </c>
      <c r="BA70" s="1155">
        <v>23</v>
      </c>
    </row>
  </sheetData>
  <sheetProtection formatColumns="0" formatRows="0" autoFilter="0" sort="0" insertRows="0" insertColumns="1" deleteRows="0" deleteColumns="0"/>
  <mergeCells count="119">
    <mergeCell ref="T67:AU67"/>
    <mergeCell ref="T68:AU68"/>
    <mergeCell ref="AI51:AI52"/>
    <mergeCell ref="AJ51:AJ52"/>
    <mergeCell ref="AJ40:AM43"/>
    <mergeCell ref="AD51:AD53"/>
    <mergeCell ref="AE51:AE53"/>
    <mergeCell ref="AF51:AF53"/>
    <mergeCell ref="AG51:AG52"/>
    <mergeCell ref="AH51:AH52"/>
    <mergeCell ref="T64:AU64"/>
    <mergeCell ref="T65:AU65"/>
    <mergeCell ref="T51:T54"/>
    <mergeCell ref="AB51:AB54"/>
    <mergeCell ref="AC51:AC53"/>
    <mergeCell ref="AU39:AU43"/>
    <mergeCell ref="T40:T43"/>
    <mergeCell ref="V40:Z40"/>
    <mergeCell ref="AU51:AU55"/>
    <mergeCell ref="Y44:Z44"/>
    <mergeCell ref="AQ44:AR44"/>
    <mergeCell ref="X41:Z42"/>
    <mergeCell ref="Y43:Z43"/>
    <mergeCell ref="AQ43:AR43"/>
    <mergeCell ref="E2:E17"/>
    <mergeCell ref="F3:F16"/>
    <mergeCell ref="G4:G15"/>
    <mergeCell ref="H5:H14"/>
    <mergeCell ref="V5:AA5"/>
    <mergeCell ref="X8:X11"/>
    <mergeCell ref="Y8:Y11"/>
    <mergeCell ref="Z8:Z11"/>
    <mergeCell ref="AA8:AA11"/>
    <mergeCell ref="V2:AA2"/>
    <mergeCell ref="I6:I13"/>
    <mergeCell ref="P6:P13"/>
    <mergeCell ref="V6:AA6"/>
    <mergeCell ref="J7:J12"/>
    <mergeCell ref="Q7:Q12"/>
    <mergeCell ref="V7:AA7"/>
    <mergeCell ref="K8:K11"/>
    <mergeCell ref="S8:S11"/>
    <mergeCell ref="T8:T11"/>
    <mergeCell ref="R8:R11"/>
    <mergeCell ref="E45:E61"/>
    <mergeCell ref="V45:AA45"/>
    <mergeCell ref="AB45:AT45"/>
    <mergeCell ref="F46:F59"/>
    <mergeCell ref="V46:AA46"/>
    <mergeCell ref="AB46:AT46"/>
    <mergeCell ref="G47:G58"/>
    <mergeCell ref="V47:AA47"/>
    <mergeCell ref="AB47:AT47"/>
    <mergeCell ref="H48:H57"/>
    <mergeCell ref="V48:AA48"/>
    <mergeCell ref="AB48:AT48"/>
    <mergeCell ref="I49:I56"/>
    <mergeCell ref="P49:P56"/>
    <mergeCell ref="V49:AA49"/>
    <mergeCell ref="AB49:AT49"/>
    <mergeCell ref="J50:J55"/>
    <mergeCell ref="Q50:Q55"/>
    <mergeCell ref="V50:AA50"/>
    <mergeCell ref="AB50:AT50"/>
    <mergeCell ref="K51:K54"/>
    <mergeCell ref="S51:S54"/>
    <mergeCell ref="AP41:AR42"/>
    <mergeCell ref="S40:S43"/>
    <mergeCell ref="S39:AT39"/>
    <mergeCell ref="AN40:AR40"/>
    <mergeCell ref="AB40:AE43"/>
    <mergeCell ref="AF40:AI43"/>
    <mergeCell ref="S35:T35"/>
    <mergeCell ref="V35:Z35"/>
    <mergeCell ref="AB35:AR35"/>
    <mergeCell ref="V38:AA38"/>
    <mergeCell ref="AB38:AS38"/>
    <mergeCell ref="AA40:AA43"/>
    <mergeCell ref="AS40:AS43"/>
    <mergeCell ref="AT40:AT43"/>
    <mergeCell ref="AN41:AO41"/>
    <mergeCell ref="AN42:AO42"/>
    <mergeCell ref="V41:W41"/>
    <mergeCell ref="V42:W42"/>
    <mergeCell ref="AB2:AT2"/>
    <mergeCell ref="V3:AA3"/>
    <mergeCell ref="AB3:AT3"/>
    <mergeCell ref="V4:AA4"/>
    <mergeCell ref="AB4:AT4"/>
    <mergeCell ref="AB5:AT5"/>
    <mergeCell ref="AB6:AT6"/>
    <mergeCell ref="AB7:AT7"/>
    <mergeCell ref="S36:T36"/>
    <mergeCell ref="V36:Z36"/>
    <mergeCell ref="AB36:AR36"/>
    <mergeCell ref="S27:AR27"/>
    <mergeCell ref="S28:AR28"/>
    <mergeCell ref="S30:T30"/>
    <mergeCell ref="V30:Z30"/>
    <mergeCell ref="AB30:AR30"/>
    <mergeCell ref="S31:T31"/>
    <mergeCell ref="V31:Z31"/>
    <mergeCell ref="AB31:AR31"/>
    <mergeCell ref="AE8:AE10"/>
    <mergeCell ref="AF8:AF10"/>
    <mergeCell ref="AG8:AG9"/>
    <mergeCell ref="AH8:AH9"/>
    <mergeCell ref="AU8:AU12"/>
    <mergeCell ref="AJ8:AJ9"/>
    <mergeCell ref="AB8:AB11"/>
    <mergeCell ref="AC8:AC10"/>
    <mergeCell ref="AD8:AD10"/>
    <mergeCell ref="AI8:AI9"/>
    <mergeCell ref="S33:T33"/>
    <mergeCell ref="V33:Z33"/>
    <mergeCell ref="AB33:AR33"/>
    <mergeCell ref="S32:T32"/>
    <mergeCell ref="V32:Z32"/>
    <mergeCell ref="AB32:AR32"/>
  </mergeCells>
  <dataValidations count="10">
    <dataValidation allowBlank="1" showInputMessage="1" showErrorMessage="1" prompt="Для выбора выполните двойной щелчок левой клавиши мыши по соответствующей ячейке." sqref="Y65590 Y131126 Y196662 Y262198 Y327734 Y393270 Y458806 Y524342 Y589878 Y655414 Y720950 Y786486 Y852022 Y917558 Y983094 AA131126 AA458806 AA196662 AA262198 AA327734 AA393270 AA524342 AA589878 AA655414 AA720950 AA786486 AA852022 AA917558 AA983094 AA65590 AA8:AA10 Y8:Y10 AQ65590 AQ131126 AQ196662 AQ262198 AQ327734 AQ393270 AQ458806 AQ524342 AQ589878 AQ655414 AQ720950 AQ786486 AQ852022 AQ917558 AQ983094 AS131126 AS458806 AS196662 AS262198 AS327734 AS393270 AS524342 AS589878 AS655414 AS720950 AS786486 AS852022 AS917558 AS983094 AS65590 AQ8 AB8 AE8:AF8 AI8:AJ8 AQ19 AS51 AS19 AB19 AE19:AF19 AI19:AJ19 AI51:AJ51 AE51:AF51 AA51:AB51 AS8 AQ51 Y51"/>
    <dataValidation type="textLength" operator="lessThanOrEqual" allowBlank="1" showInputMessage="1" showErrorMessage="1" errorTitle="Ошибка" error="Допускается ввод не более 900 символов!" sqref="AU65584:AU65591 AU131120:AU131127 AU196656:AU196663 AU262192:AU262199 AU327728:AU327735 AU393264:AU393271 AU458800:AU458807 AU524336:AU524343 AU589872:AU589879 AU655408:AU655415 AU720944:AU720951 AU786480:AU786487 AU852016:AU852023 AU917552:AU917559 AU983088:AU983095 T8:T11 T51:T54">
      <formula1>900</formula1>
    </dataValidation>
    <dataValidation allowBlank="1" promptTitle="checkPeriodRange" sqref="W65591 W131127 W196663 W262199 W327735 W393271 W458807 W524343 W589879 W655415 W720951 W786487 W852023 W917559 W983095 AO54 W11 AO65591 AO131127 AO196663 AO262199 AO327735 AO393271 AO458807 AO524343 AO589879 AO655415 AO720951 AO786487 AO852023 AO917559 AO983095 AO11 W54"/>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X65590 X131126 X196662 X262198 X327734 X393270 X458806 X524342 X589878 X655414 X720950 X786486 X852022 X917558 X983094 Z65590 Z131126 Z196662 Z262198 Z327734 Z393270 Z458806 Z524342 Z589878 Z655414 Z720950 Z786486 Z852022 Z917558 Z983094 X8:X10 Z8:Z10 AP65590 AP131126 AP196662 AP262198 AP327734 AP393270 AP458806 AP524342 AP589878 AP655414 AP720950 AP786486 AP852022 AP917558 AP983094 AR65590 AR131126 AR196662 AR262198 AR327734 AR393270 AR458806 AR524342 AR589878 AR655414 AR720950 AR786486 AR852022 AR917558 AR983094 AR8 AR51 AR19 AP19 AP8 AP51 Z51 X51"/>
    <dataValidation type="list" allowBlank="1" showInputMessage="1" showErrorMessage="1" errorTitle="Ошибка" error="Выберите значение из списка" sqref="AB983092:AM983092 AB65588:AM65588 AB131124:AM131124 AB196660:AM196660 AB262196:AM262196 AB327732:AM327732 AB393268:AM393268 AB458804:AM458804 AB524340:AM524340 AB589876:AM589876 AB655412:AM655412 AB720948:AM720948 AB786484:AM786484 AB852020:AM852020 AB917556:AM917556">
      <formula1>kind_of_scheme_in</formula1>
    </dataValidation>
    <dataValidation type="list" allowBlank="1" showInputMessage="1" showErrorMessage="1" errorTitle="Ошибка" error="Выберите значение из списка" sqref="T65590 T131126 T196662 T262198 T327734 T393270 T458806 T524342 T589878 T655414 T720950 T786486 T852022 T917558 T983094">
      <formula1>kind_of_heat_transfer</formula1>
    </dataValidation>
    <dataValidation allowBlank="1" sqref="S131128:AU131134 S196664:AU196670 S262200:AU262206 S327736:AU327742 S393272:AU393278 S458808:AU458814 S524344:AU524350 S589880:AU589886 S655416:AU655422 S720952:AU720958 S786488:AU786494 S852024:AU852030 S917560:AU917566 S983096:AU983102 S65592:AU65598"/>
    <dataValidation type="list" allowBlank="1" showInputMessage="1" errorTitle="Ошибка" error="Выберите значение из списка" prompt="Выберите значение из списка" sqref="V917557:AT917557 V983093:AT983093 V65589:AT65589 V131125:AT131125 V196661:AT196661 V262197:AT262197 V327733:AT327733 V393269:AT393269 V458805:AT458805 V524341:AT524341 V589877:AT589877 V655413:AT655413 V720949:AT720949 V786485:AT786485 V852021:AT852021">
      <formula1>kind_of_cons</formula1>
    </dataValidation>
    <dataValidation type="list" allowBlank="1" showInputMessage="1" showErrorMessage="1" errorTitle="Ошибка" error="Выберите значение из списка" prompt="Выберите значение из списка" sqref="AN42:AO42">
      <formula1>UNIT_CONNECT_LIST</formula1>
    </dataValidation>
    <dataValidation allowBlank="1" errorTitle="Ошибка" error="Выберите значение из списка" sqref="V42:W42"/>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2DA6803-5C72-5657-A65B-4222620A6813}" mc:Ignorable="x14ac xr xr2 xr3">
  <sheetPr>
    <tabColor theme="6" tint="0.4"/>
  </sheetPr>
  <dimension ref="A1:AQ58"/>
  <sheetViews>
    <sheetView showGridLines="0" zoomScale="90" workbookViewId="0">
      <pane xSplit="28" ySplit="40" topLeftCell="AC41" activePane="bottomRight" state="frozen"/>
      <selection pane="bottomLeft" activeCell="A41" sqref="A41"/>
      <selection pane="topRight" activeCell="AC1" sqref="AC1"/>
      <selection pane="bottomRight" activeCell="A1" sqref="A1"/>
    </sheetView>
  </sheetViews>
  <sheetFormatPr defaultColWidth="10.57421875" customHeight="1" defaultRowHeight="14.25"/>
  <cols>
    <col min="1" max="1" style="1366" width="10.57421875" hidden="1"/>
    <col min="2" max="2" style="1366" width="11.00390625" hidden="1" customWidth="1"/>
    <col min="3" max="3" style="1366" width="10.57421875" hidden="1"/>
    <col min="4" max="4" style="1366" width="11.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4.140625" hidden="1" customWidth="1"/>
    <col min="10" max="10" style="1366" width="9.8515625" hidden="1" customWidth="1"/>
    <col min="11" max="11" style="1366" width="14.7109375" hidden="1" customWidth="1"/>
    <col min="12" max="12" style="2607" width="19.140625" hidden="1" customWidth="1"/>
    <col min="13" max="14" style="1776" width="12.28125" hidden="1" customWidth="1"/>
    <col min="15" max="15" style="1776" width="23.421875" hidden="1" customWidth="1"/>
    <col min="16" max="16" style="2397" width="3.00390625" customWidth="1"/>
    <col min="17" max="18" style="344" width="3.00390625" customWidth="1"/>
    <col min="19" max="19" style="2407" width="12.00390625" customWidth="1"/>
    <col min="20" max="20" style="1635" width="35.00390625" customWidth="1"/>
    <col min="21" max="21" style="1635" width="0.140625" customWidth="1"/>
    <col min="22" max="24" style="1635" width="24.7109375" hidden="1" customWidth="1"/>
    <col min="25" max="25" style="1635" width="11.7109375" hidden="1" customWidth="1"/>
    <col min="26" max="26" style="1635" width="3.7109375" hidden="1" customWidth="1"/>
    <col min="27" max="27" style="1635" width="11.7109375" hidden="1" customWidth="1"/>
    <col min="28" max="28" style="1635" width="8.57421875" hidden="1" customWidth="1"/>
    <col min="29" max="29" style="1635" width="24.7109375" customWidth="1"/>
    <col min="30" max="31" style="1635" width="24.00390625" customWidth="1"/>
    <col min="32" max="32" style="1635" width="11.00390625" customWidth="1"/>
    <col min="33" max="33" style="1635" width="3.7109375" customWidth="1"/>
    <col min="34" max="34" style="1635" width="11.00390625" customWidth="1"/>
    <col min="35" max="35" style="1635" width="8.57421875" hidden="1" customWidth="1"/>
    <col min="36" max="36" style="1635" width="4.00390625" customWidth="1"/>
    <col min="37" max="37" style="1635" width="115.00390625" customWidth="1"/>
    <col min="38" max="42" style="1642" width="10.00390625" customWidth="1"/>
    <col min="43" max="43" style="1635" width="10.57421875" hidden="1"/>
  </cols>
  <sheetData>
    <row customHeight="1" ht="22.5" hidden="1">
      <c r="X1" s="327"/>
      <c r="Y1" s="327"/>
      <c r="AE1" s="327"/>
      <c r="AF1" s="327"/>
      <c r="AQ1" s="1155" t="s">
        <v>14</v>
      </c>
    </row>
    <row customHeight="1" ht="23.25" hidden="1">
      <c r="A2" s="1363"/>
      <c r="B2" s="1363"/>
      <c r="C2" s="1363"/>
      <c r="D2" s="1363"/>
      <c r="E2" s="2258">
        <v>1</v>
      </c>
      <c r="F2" s="1363"/>
      <c r="G2" s="1363"/>
      <c r="H2" s="1363"/>
      <c r="I2" s="1363"/>
      <c r="J2" s="1363"/>
      <c r="K2" s="1363"/>
      <c r="L2" s="1364"/>
      <c r="M2" s="1365"/>
      <c r="N2" s="1365"/>
      <c r="O2" s="1365"/>
      <c r="P2" s="361"/>
      <c r="Q2" s="360"/>
      <c r="R2" s="355"/>
      <c r="S2" s="1425">
        <f>INDEX(PT_DIFFERENTIATION_NUM_NTAR,MATCH(A2,PT_DIFFERENTIATION_NTAR_ID,0))</f>
      </c>
      <c r="T2" s="298" t="s">
        <v>127</v>
      </c>
      <c r="U2" s="300"/>
      <c r="V2" s="2242"/>
      <c r="W2" s="2243"/>
      <c r="X2" s="2243"/>
      <c r="Y2" s="2243"/>
      <c r="Z2" s="2243"/>
      <c r="AA2" s="2243"/>
      <c r="AB2" s="2244"/>
      <c r="AC2" s="2242">
        <f>INDEX(PT_DIFFERENTIATION_NTAR,MATCH(A2,PT_DIFFERENTIATION_NTAR_ID,0))</f>
      </c>
      <c r="AD2" s="2243"/>
      <c r="AE2" s="2243"/>
      <c r="AF2" s="2243"/>
      <c r="AG2" s="2243"/>
      <c r="AH2" s="2243"/>
      <c r="AI2" s="2243"/>
      <c r="AJ2" s="2244"/>
      <c r="AK2"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00"/>
      <c r="AN2" s="500" t="str">
        <f>IF(T2="","",T2)</f>
        <v>Наименование тарифа</v>
      </c>
      <c r="AO2" s="500"/>
      <c r="AP2" s="500"/>
      <c r="AQ2" s="1155">
        <v>0</v>
      </c>
    </row>
    <row customHeight="1" ht="23.25" hidden="1">
      <c r="A3" s="1363"/>
      <c r="B3" s="1363"/>
      <c r="C3" s="1363"/>
      <c r="D3" s="1363"/>
      <c r="E3" s="2259"/>
      <c r="F3" s="2258">
        <v>1</v>
      </c>
      <c r="G3" s="1363"/>
      <c r="H3" s="1363"/>
      <c r="I3" s="1363"/>
      <c r="J3" s="1363"/>
      <c r="K3" s="1363"/>
      <c r="L3" s="1364"/>
      <c r="M3" s="1365"/>
      <c r="N3" s="1365"/>
      <c r="O3" s="1365"/>
      <c r="P3" s="1423"/>
      <c r="Q3" s="352"/>
      <c r="R3" s="353"/>
      <c r="S3" s="1425">
        <f>INDEX(PT_DIFFERENTIATION_NUM_TER,MATCH(B3,PT_DIFFERENTIATION_TER_ID,0))</f>
      </c>
      <c r="T3" s="308" t="s">
        <v>399</v>
      </c>
      <c r="U3" s="300"/>
      <c r="V3" s="2242"/>
      <c r="W3" s="2243"/>
      <c r="X3" s="2243"/>
      <c r="Y3" s="2243"/>
      <c r="Z3" s="2243"/>
      <c r="AA3" s="2243"/>
      <c r="AB3" s="2244"/>
      <c r="AC3" s="2242">
        <f>INDEX(PT_DIFFERENTIATION_TER,MATCH(B3,PT_DIFFERENTIATION_TER_ID,0))</f>
      </c>
      <c r="AD3" s="2243"/>
      <c r="AE3" s="2243"/>
      <c r="AF3" s="2243"/>
      <c r="AG3" s="2243"/>
      <c r="AH3" s="2243"/>
      <c r="AI3" s="2243"/>
      <c r="AJ3" s="2244"/>
      <c r="AK3" s="1258" t="s">
        <v>400</v>
      </c>
      <c r="AM3" s="500"/>
      <c r="AN3" s="500" t="str">
        <f>IF(T3="","",T3)</f>
        <v>Территория действия тарифа</v>
      </c>
      <c r="AO3" s="500"/>
      <c r="AP3" s="500"/>
      <c r="AQ3" s="1155">
        <v>0</v>
      </c>
    </row>
    <row customHeight="1" ht="23.25" hidden="1">
      <c r="A4" s="1363"/>
      <c r="B4" s="1363"/>
      <c r="C4" s="1363"/>
      <c r="D4" s="1363"/>
      <c r="E4" s="2259"/>
      <c r="F4" s="2259"/>
      <c r="G4" s="2258">
        <v>1</v>
      </c>
      <c r="H4" s="1363"/>
      <c r="I4" s="1363"/>
      <c r="J4" s="1363"/>
      <c r="K4" s="1363"/>
      <c r="L4" s="1364"/>
      <c r="M4" s="1365"/>
      <c r="N4" s="1365"/>
      <c r="O4" s="1365"/>
      <c r="P4" s="354"/>
      <c r="Q4" s="352"/>
      <c r="R4" s="353"/>
      <c r="S4" s="1425">
        <f>INDEX(PT_DIFFERENTIATION_NUM_CS,MATCH(C4,PT_DIFFERENTIATION_CS_ID,0))</f>
      </c>
      <c r="T4" s="309" t="s">
        <v>483</v>
      </c>
      <c r="U4" s="300"/>
      <c r="V4" s="2242"/>
      <c r="W4" s="2243"/>
      <c r="X4" s="2243"/>
      <c r="Y4" s="2243"/>
      <c r="Z4" s="2243"/>
      <c r="AA4" s="2243"/>
      <c r="AB4" s="2244"/>
      <c r="AC4" s="2242">
        <f>INDEX(PT_DIFFERENTIATION_CS,MATCH(C4,PT_DIFFERENTIATION_CS_ID,0))</f>
      </c>
      <c r="AD4" s="2243"/>
      <c r="AE4" s="2243"/>
      <c r="AF4" s="2243"/>
      <c r="AG4" s="2243"/>
      <c r="AH4" s="2243"/>
      <c r="AI4" s="2243"/>
      <c r="AJ4" s="2244"/>
      <c r="AK4" s="1258" t="s">
        <v>484</v>
      </c>
      <c r="AM4" s="500"/>
      <c r="AN4" s="500" t="str">
        <f>IF(T4="","",T4)</f>
        <v>Наименование централизованной системы холодного водоснабжения</v>
      </c>
      <c r="AO4" s="500"/>
      <c r="AP4" s="500"/>
      <c r="AQ4" s="1155">
        <v>0</v>
      </c>
    </row>
    <row customHeight="1" ht="23.25" hidden="1">
      <c r="A5" s="1363"/>
      <c r="B5" s="1363"/>
      <c r="C5" s="1363"/>
      <c r="D5" s="1363"/>
      <c r="E5" s="2259"/>
      <c r="F5" s="2259"/>
      <c r="G5" s="2259"/>
      <c r="H5" s="2259"/>
      <c r="I5" s="2256">
        <f>S4&amp;".1"</f>
      </c>
      <c r="J5" s="1363"/>
      <c r="K5" s="1363"/>
      <c r="L5" s="1364"/>
      <c r="P5" s="2257">
        <v>1</v>
      </c>
      <c r="Q5" s="1422"/>
      <c r="R5" s="356"/>
      <c r="S5" s="1425">
        <f>$I5</f>
      </c>
      <c r="T5" s="285" t="s">
        <v>485</v>
      </c>
      <c r="U5" s="300"/>
      <c r="V5" s="2350"/>
      <c r="W5" s="2351"/>
      <c r="X5" s="2351"/>
      <c r="Y5" s="2351"/>
      <c r="Z5" s="2351"/>
      <c r="AA5" s="2351"/>
      <c r="AB5" s="2352"/>
      <c r="AC5" s="2353"/>
      <c r="AD5" s="2354"/>
      <c r="AE5" s="2354"/>
      <c r="AF5" s="2354"/>
      <c r="AG5" s="2354"/>
      <c r="AH5" s="2354"/>
      <c r="AI5" s="2354"/>
      <c r="AJ5" s="2355"/>
      <c r="AK5" s="1258" t="s">
        <v>486</v>
      </c>
      <c r="AM5" s="500"/>
      <c r="AN5" s="500" t="str">
        <f>IF(T5="","",T5)</f>
        <v>Наименование признака дифференциации</v>
      </c>
      <c r="AO5" s="500"/>
      <c r="AP5" s="500"/>
      <c r="AQ5" s="1155">
        <v>0</v>
      </c>
    </row>
    <row customHeight="1" ht="23.25" hidden="1">
      <c r="A6" s="1363"/>
      <c r="B6" s="1363"/>
      <c r="C6" s="1363"/>
      <c r="D6" s="1363"/>
      <c r="E6" s="2259"/>
      <c r="F6" s="2259"/>
      <c r="G6" s="2259"/>
      <c r="H6" s="2259"/>
      <c r="I6" s="2286"/>
      <c r="J6" s="2256">
        <f>I5&amp;".1"</f>
      </c>
      <c r="K6" s="1363"/>
      <c r="L6" s="1364" t="s">
        <v>408</v>
      </c>
      <c r="P6" s="2257"/>
      <c r="Q6" s="2257">
        <v>1</v>
      </c>
      <c r="R6" s="357"/>
      <c r="S6" s="1425">
        <f>$J6</f>
      </c>
      <c r="T6" s="286" t="s">
        <v>409</v>
      </c>
      <c r="U6" s="300"/>
      <c r="V6" s="2245"/>
      <c r="W6" s="2246"/>
      <c r="X6" s="2246"/>
      <c r="Y6" s="2246"/>
      <c r="Z6" s="2246"/>
      <c r="AA6" s="2246"/>
      <c r="AB6" s="2247"/>
      <c r="AC6" s="2245"/>
      <c r="AD6" s="2246"/>
      <c r="AE6" s="2246"/>
      <c r="AF6" s="2246"/>
      <c r="AG6" s="2246"/>
      <c r="AH6" s="2246"/>
      <c r="AI6" s="2246"/>
      <c r="AJ6" s="2247"/>
      <c r="AK6" s="1307" t="s">
        <v>487</v>
      </c>
      <c r="AM6" s="500"/>
      <c r="AN6" s="500" t="str">
        <f>IF(T6="","",T6)</f>
        <v>Группа потребителей</v>
      </c>
      <c r="AO6" s="500"/>
      <c r="AP6" s="500"/>
      <c r="AQ6" s="1155">
        <v>0</v>
      </c>
    </row>
    <row customHeight="1" ht="23.25" hidden="1">
      <c r="A7" s="1363"/>
      <c r="B7" s="1363"/>
      <c r="C7" s="1363"/>
      <c r="D7" s="1363"/>
      <c r="E7" s="2259"/>
      <c r="F7" s="2259"/>
      <c r="G7" s="2259"/>
      <c r="H7" s="2259"/>
      <c r="I7" s="2286"/>
      <c r="J7" s="2286"/>
      <c r="K7" s="2256">
        <f>J6&amp;".1"</f>
      </c>
      <c r="L7" s="1364"/>
      <c r="P7" s="2257"/>
      <c r="Q7" s="2257"/>
      <c r="R7" s="357">
        <v>1</v>
      </c>
      <c r="S7" s="1425">
        <f>$K7</f>
      </c>
      <c r="T7" s="1437"/>
      <c r="U7" s="300"/>
      <c r="V7" s="751"/>
      <c r="W7" s="751"/>
      <c r="X7" s="1257"/>
      <c r="Y7" s="2265"/>
      <c r="Z7" s="2107" t="s">
        <v>66</v>
      </c>
      <c r="AA7" s="2265"/>
      <c r="AB7" s="2107" t="s">
        <v>66</v>
      </c>
      <c r="AC7" s="751"/>
      <c r="AD7" s="751"/>
      <c r="AE7" s="1257"/>
      <c r="AF7" s="2265"/>
      <c r="AG7" s="2107" t="s">
        <v>66</v>
      </c>
      <c r="AH7" s="2287"/>
      <c r="AI7" s="2107" t="s">
        <v>66</v>
      </c>
      <c r="AJ7" s="1438"/>
      <c r="AK7" s="234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1">
        <f>STRCHECKDATE(V8:AJ8)</f>
      </c>
      <c r="AM7" s="500"/>
      <c r="AN7" s="500" t="str">
        <f>IF(T7="","",T7)</f>
        <v/>
      </c>
      <c r="AO7" s="500"/>
      <c r="AP7" s="500"/>
      <c r="AQ7" s="1155">
        <v>0</v>
      </c>
    </row>
    <row customHeight="1" ht="14.25" hidden="1">
      <c r="A8" s="1363"/>
      <c r="B8" s="1363"/>
      <c r="C8" s="1363"/>
      <c r="D8" s="1363"/>
      <c r="E8" s="2259"/>
      <c r="F8" s="2259"/>
      <c r="G8" s="2259"/>
      <c r="H8" s="2259"/>
      <c r="I8" s="2286"/>
      <c r="J8" s="2286"/>
      <c r="K8" s="2256"/>
      <c r="L8" s="1364"/>
      <c r="P8" s="2257"/>
      <c r="Q8" s="2257"/>
      <c r="R8" s="357"/>
      <c r="S8" s="1424"/>
      <c r="T8" s="300"/>
      <c r="U8" s="300"/>
      <c r="V8" s="325"/>
      <c r="W8" s="325"/>
      <c r="X8" s="328" t="str">
        <f>Y7&amp;"-"&amp;AA7</f>
        <v>-</v>
      </c>
      <c r="Y8" s="2266"/>
      <c r="Z8" s="2107"/>
      <c r="AA8" s="2266"/>
      <c r="AB8" s="2107"/>
      <c r="AC8" s="325"/>
      <c r="AD8" s="325"/>
      <c r="AE8" s="328" t="str">
        <f>AF7&amp;"-"&amp;AH7</f>
        <v>-</v>
      </c>
      <c r="AF8" s="2266"/>
      <c r="AG8" s="2107"/>
      <c r="AH8" s="2288"/>
      <c r="AI8" s="2107"/>
      <c r="AJ8" s="1439"/>
      <c r="AK8" s="2349"/>
      <c r="AM8" s="500"/>
      <c r="AN8" s="500" t="str">
        <f>IF(T8="","",T8)</f>
        <v/>
      </c>
      <c r="AO8" s="500"/>
      <c r="AP8" s="500"/>
      <c r="AQ8" s="1155">
        <v>0</v>
      </c>
    </row>
    <row customHeight="1" ht="21" hidden="1">
      <c r="A9" s="1363"/>
      <c r="B9" s="1363"/>
      <c r="C9" s="1363"/>
      <c r="D9" s="1363"/>
      <c r="E9" s="2259"/>
      <c r="F9" s="2259"/>
      <c r="G9" s="2259"/>
      <c r="H9" s="2259"/>
      <c r="I9" s="2286"/>
      <c r="J9" s="2256"/>
      <c r="K9" s="1363"/>
      <c r="L9" s="1364"/>
      <c r="P9" s="2257"/>
      <c r="Q9" s="2257"/>
      <c r="R9" s="356"/>
      <c r="S9" s="1278"/>
      <c r="T9" s="287" t="s">
        <v>488</v>
      </c>
      <c r="U9" s="367"/>
      <c r="V9" s="367"/>
      <c r="W9" s="367"/>
      <c r="X9" s="367"/>
      <c r="Y9" s="367"/>
      <c r="Z9" s="367"/>
      <c r="AA9" s="367"/>
      <c r="AB9" s="367"/>
      <c r="AC9" s="367"/>
      <c r="AD9" s="367"/>
      <c r="AE9" s="367"/>
      <c r="AF9" s="367"/>
      <c r="AG9" s="367"/>
      <c r="AH9" s="367"/>
      <c r="AI9" s="367"/>
      <c r="AJ9" s="367"/>
      <c r="AK9" s="1258" t="s">
        <v>489</v>
      </c>
      <c r="AM9" s="500"/>
      <c r="AN9" s="500" t="str">
        <f>IF(T9="","",T9)</f>
        <v>Добавить значение признака дифференциации</v>
      </c>
      <c r="AO9" s="500"/>
      <c r="AP9" s="500"/>
      <c r="AQ9" s="1155">
        <v>0</v>
      </c>
    </row>
    <row customHeight="1" ht="21" hidden="1">
      <c r="A10" s="1363"/>
      <c r="B10" s="1363"/>
      <c r="C10" s="1363"/>
      <c r="D10" s="1363"/>
      <c r="E10" s="2259"/>
      <c r="F10" s="2259"/>
      <c r="G10" s="2259"/>
      <c r="H10" s="2259"/>
      <c r="I10" s="2256"/>
      <c r="J10" s="1363"/>
      <c r="K10" s="1363"/>
      <c r="L10" s="1364"/>
      <c r="P10" s="2257"/>
      <c r="Q10" s="1422"/>
      <c r="R10" s="356"/>
      <c r="S10" s="1278"/>
      <c r="T10" s="365" t="s">
        <v>414</v>
      </c>
      <c r="U10" s="367"/>
      <c r="V10" s="367"/>
      <c r="W10" s="367"/>
      <c r="X10" s="367"/>
      <c r="Y10" s="367"/>
      <c r="Z10" s="367"/>
      <c r="AA10" s="367"/>
      <c r="AB10" s="366"/>
      <c r="AC10" s="367"/>
      <c r="AD10" s="367"/>
      <c r="AE10" s="367"/>
      <c r="AF10" s="367"/>
      <c r="AG10" s="367"/>
      <c r="AH10" s="367"/>
      <c r="AI10" s="366"/>
      <c r="AJ10" s="367"/>
      <c r="AK10" s="1440"/>
      <c r="AM10" s="500"/>
      <c r="AN10" s="500" t="str">
        <f>IF(T10="","",T10)</f>
        <v>Добавить группу потребителей</v>
      </c>
      <c r="AO10" s="500"/>
      <c r="AP10" s="500"/>
      <c r="AQ10" s="1155">
        <v>0</v>
      </c>
    </row>
    <row customHeight="1" ht="14.25" hidden="1">
      <c r="A11" s="1363"/>
      <c r="B11" s="1363"/>
      <c r="C11" s="1363"/>
      <c r="D11" s="1363"/>
      <c r="E11" s="2259"/>
      <c r="F11" s="2259"/>
      <c r="G11" s="2259"/>
      <c r="H11" s="2258"/>
      <c r="I11" s="1363"/>
      <c r="J11" s="1363"/>
      <c r="K11" s="1363"/>
      <c r="L11" s="1364"/>
      <c r="M11" s="1365"/>
      <c r="N11" s="1365"/>
      <c r="O11" s="537"/>
      <c r="P11" s="360"/>
      <c r="Q11" s="375"/>
      <c r="R11" s="355"/>
      <c r="S11" s="1278"/>
      <c r="T11" s="372" t="s">
        <v>490</v>
      </c>
      <c r="U11" s="367"/>
      <c r="V11" s="367"/>
      <c r="W11" s="367"/>
      <c r="X11" s="367"/>
      <c r="Y11" s="367"/>
      <c r="Z11" s="367"/>
      <c r="AA11" s="367"/>
      <c r="AB11" s="366"/>
      <c r="AC11" s="367"/>
      <c r="AD11" s="367"/>
      <c r="AE11" s="367"/>
      <c r="AF11" s="367"/>
      <c r="AG11" s="367"/>
      <c r="AH11" s="367"/>
      <c r="AI11" s="366"/>
      <c r="AJ11" s="367"/>
      <c r="AK11" s="303"/>
      <c r="AM11" s="500"/>
      <c r="AN11" s="500" t="str">
        <f>IF(T11="","",T11)</f>
        <v>Добавить наименование признака дифференциации</v>
      </c>
      <c r="AO11" s="500"/>
      <c r="AP11" s="500"/>
      <c r="AQ11" s="1155">
        <v>0</v>
      </c>
    </row>
    <row s="1642" customFormat="1" customHeight="1" ht="14.25" hidden="1">
      <c r="A12" s="1343"/>
      <c r="B12" s="1343"/>
      <c r="C12" s="1314"/>
      <c r="D12" s="1314"/>
      <c r="E12" s="2259"/>
      <c r="F12" s="2258"/>
      <c r="G12" s="1314"/>
      <c r="H12" s="1314"/>
      <c r="I12" s="1314"/>
      <c r="J12" s="1314"/>
      <c r="K12" s="1314"/>
      <c r="L12" s="1426"/>
      <c r="M12" s="1321"/>
      <c r="N12" s="1321"/>
      <c r="P12" s="1316"/>
      <c r="Q12" s="1317"/>
      <c r="R12" s="1316"/>
      <c r="S12" s="1322"/>
      <c r="T12" s="1325" t="s">
        <v>417</v>
      </c>
      <c r="U12" s="1324"/>
      <c r="V12" s="1324"/>
      <c r="W12" s="1324"/>
      <c r="X12" s="1324"/>
      <c r="Y12" s="1324"/>
      <c r="Z12" s="1324"/>
      <c r="AA12" s="1324"/>
      <c r="AB12" s="1324"/>
      <c r="AC12" s="1324"/>
      <c r="AD12" s="1324"/>
      <c r="AE12" s="1324"/>
      <c r="AF12" s="1324"/>
      <c r="AG12" s="1324"/>
      <c r="AH12" s="1324"/>
      <c r="AI12" s="1324"/>
      <c r="AJ12" s="1324"/>
      <c r="AK12" s="1324"/>
      <c r="AM12" s="789"/>
      <c r="AN12" s="789" t="str">
        <f>IF(T12="","",T12)</f>
        <v>Добавить централизованную систему для дифференциации</v>
      </c>
      <c r="AO12" s="789"/>
      <c r="AP12" s="789"/>
      <c r="AQ12" s="518">
        <v>0</v>
      </c>
    </row>
    <row s="1642" customFormat="1" customHeight="1" ht="14.25" hidden="1">
      <c r="A13" s="1343"/>
      <c r="B13" s="1343"/>
      <c r="C13" s="1343"/>
      <c r="D13" s="1343"/>
      <c r="E13" s="2258"/>
      <c r="F13" s="1343"/>
      <c r="G13" s="1343"/>
      <c r="H13" s="1343"/>
      <c r="I13" s="1343"/>
      <c r="J13" s="1343"/>
      <c r="K13" s="1343"/>
      <c r="L13" s="1346"/>
      <c r="M13" s="1321"/>
      <c r="N13" s="1321"/>
      <c r="O13" s="518"/>
      <c r="P13" s="380"/>
      <c r="Q13" s="1344"/>
      <c r="R13" s="380"/>
      <c r="S13" s="1322"/>
      <c r="T13" s="1325" t="s">
        <v>418</v>
      </c>
      <c r="U13" s="1324"/>
      <c r="V13" s="1324"/>
      <c r="W13" s="1324"/>
      <c r="X13" s="1324"/>
      <c r="Y13" s="1324"/>
      <c r="Z13" s="1324"/>
      <c r="AA13" s="1324"/>
      <c r="AB13" s="1324"/>
      <c r="AC13" s="1324"/>
      <c r="AD13" s="1324"/>
      <c r="AE13" s="1324"/>
      <c r="AF13" s="1324"/>
      <c r="AG13" s="1324"/>
      <c r="AH13" s="1324"/>
      <c r="AI13" s="1324"/>
      <c r="AJ13" s="1324"/>
      <c r="AK13" s="1324"/>
      <c r="AM13" s="500"/>
      <c r="AN13" s="500" t="str">
        <f>IF(T13="","",T13)</f>
        <v>Добавить территорию для дифференциации</v>
      </c>
      <c r="AO13" s="500"/>
      <c r="AP13" s="500"/>
      <c r="AQ13" s="511">
        <v>0</v>
      </c>
    </row>
    <row customHeight="1" ht="14.25" hidden="1">
      <c r="AB14" s="327"/>
      <c r="AI14" s="327"/>
      <c r="AQ14" s="1155">
        <v>0</v>
      </c>
    </row>
    <row customHeight="1" ht="14.25" hidden="1">
      <c r="AC15" s="1360"/>
      <c r="AD15" s="1360"/>
      <c r="AE15" s="1361"/>
      <c r="AF15" s="2267"/>
      <c r="AG15" s="2268" t="s">
        <v>66</v>
      </c>
      <c r="AH15" s="2267"/>
      <c r="AI15" s="2268" t="s">
        <v>66</v>
      </c>
      <c r="AQ15" s="1155">
        <v>0</v>
      </c>
    </row>
    <row customHeight="1" ht="14.25" hidden="1">
      <c r="AC16" s="1360"/>
      <c r="AD16" s="1360"/>
      <c r="AE16" s="328" t="str">
        <f>AF15&amp;"-"&amp;AH15</f>
        <v>-</v>
      </c>
      <c r="AF16" s="2268"/>
      <c r="AG16" s="2268"/>
      <c r="AH16" s="2268"/>
      <c r="AI16" s="2268"/>
      <c r="AQ16" s="1155">
        <v>0</v>
      </c>
    </row>
    <row customHeight="1" ht="14.25" hidden="1">
      <c r="AI17" s="327"/>
      <c r="AQ17" s="1155">
        <v>0</v>
      </c>
    </row>
    <row s="1366" customFormat="1" customHeight="1" ht="22.5" hidden="1">
      <c r="L18" s="1421"/>
      <c r="M18" s="1362"/>
      <c r="N18" s="1362"/>
      <c r="O18" s="1367" t="s">
        <v>419</v>
      </c>
      <c r="P18" s="1362"/>
      <c r="Q18" s="1371"/>
      <c r="R18" s="1371"/>
      <c r="S18" s="729"/>
      <c r="Y18" s="1367"/>
      <c r="AA18" s="1367"/>
      <c r="AB18" s="1366"/>
      <c r="AF18" s="1367"/>
      <c r="AH18" s="1367"/>
      <c r="AI18" s="1366"/>
      <c r="AL18" s="511"/>
      <c r="AM18" s="511"/>
      <c r="AN18" s="511"/>
      <c r="AO18" s="511"/>
      <c r="AP18" s="511"/>
      <c r="AQ18" s="1160">
        <v>0</v>
      </c>
    </row>
    <row s="1366" customFormat="1" customHeight="1" ht="14.25" hidden="1">
      <c r="L19" s="1421"/>
      <c r="M19" s="1362"/>
      <c r="N19" s="1362"/>
      <c r="O19" s="1362"/>
      <c r="P19" s="1362"/>
      <c r="Q19" s="1371"/>
      <c r="R19" s="1371"/>
      <c r="S19" s="729"/>
      <c r="AB19" s="1366"/>
      <c r="AI19" s="1366"/>
      <c r="AL19" s="511"/>
      <c r="AM19" s="511"/>
      <c r="AN19" s="511"/>
      <c r="AO19" s="511"/>
      <c r="AP19" s="511"/>
      <c r="AQ19" s="1160">
        <v>0</v>
      </c>
    </row>
    <row s="1366" customFormat="1" customHeight="1" ht="12" hidden="1">
      <c r="L20" s="1421"/>
      <c r="M20" s="1362"/>
      <c r="N20" s="1362"/>
      <c r="O20" s="1364" t="s">
        <v>420</v>
      </c>
      <c r="P20" s="1362"/>
      <c r="Q20" s="1442"/>
      <c r="R20" s="1442"/>
      <c r="S20" s="729"/>
      <c r="T20" s="1160" t="s">
        <v>421</v>
      </c>
      <c r="Z20" s="186" t="s">
        <v>422</v>
      </c>
      <c r="AB20" s="186" t="s">
        <v>423</v>
      </c>
      <c r="AC20" s="1160" t="s">
        <v>421</v>
      </c>
      <c r="AG20" s="186" t="s">
        <v>424</v>
      </c>
      <c r="AI20" s="186" t="s">
        <v>423</v>
      </c>
      <c r="AQ20" s="1160">
        <v>0</v>
      </c>
    </row>
    <row customHeight="1" ht="14.25" hidden="1">
      <c r="O21" s="1364"/>
      <c r="AQ21" s="1155">
        <v>0</v>
      </c>
    </row>
    <row customHeight="1" ht="14.25" hidden="1">
      <c r="O22" s="1364"/>
      <c r="AQ22" s="1155">
        <v>0</v>
      </c>
    </row>
    <row customHeight="1" ht="14.699999999999998">
      <c r="Q23" s="376"/>
      <c r="R23" s="376"/>
      <c r="S23" s="1275"/>
      <c r="T23" s="363"/>
      <c r="U23" s="363"/>
      <c r="V23" s="509"/>
      <c r="W23" s="509"/>
      <c r="X23" s="509"/>
      <c r="Y23" s="509"/>
      <c r="Z23" s="509"/>
      <c r="AA23" s="509"/>
      <c r="AB23" s="509"/>
      <c r="AC23" s="509"/>
      <c r="AD23" s="509"/>
      <c r="AE23" s="509"/>
      <c r="AF23" s="509"/>
      <c r="AG23" s="509"/>
      <c r="AH23" s="509"/>
      <c r="AI23" s="509"/>
      <c r="AQ23" s="1155">
        <v>14</v>
      </c>
    </row>
    <row customHeight="1" ht="14.699999999999998">
      <c r="Q24" s="376"/>
      <c r="R24" s="376"/>
      <c r="S24" s="2248" t="str">
        <f>IF(TEMPLATE_GROUP="P",PT_P_FORM_COLDVSNA_4_NAME_FORM,PT_R_FORM_COLDVSNA_16_NAME_FORM)</f>
        <v>Форма 13. Информация о предложении организации холодного водоснабжения об установлении расчетной величины тарифов в сфере холодного водоснабжения</v>
      </c>
      <c r="T24" s="2248"/>
      <c r="U24" s="2248"/>
      <c r="V24" s="2248"/>
      <c r="W24" s="2248"/>
      <c r="X24" s="2248"/>
      <c r="Y24" s="2248"/>
      <c r="Z24" s="2248"/>
      <c r="AA24" s="2248"/>
      <c r="AB24" s="2248"/>
      <c r="AC24" s="2248"/>
      <c r="AD24" s="2248"/>
      <c r="AE24" s="2248"/>
      <c r="AF24" s="2248"/>
      <c r="AG24" s="2248"/>
      <c r="AH24" s="2248"/>
      <c r="AI24" s="1243"/>
      <c r="AQ24" s="1155">
        <v>14</v>
      </c>
    </row>
    <row customHeight="1" ht="14.699999999999998">
      <c r="Q25" s="376"/>
      <c r="R25" s="376"/>
      <c r="S25" s="2249" t="str">
        <f>IF(org=0,"Не определено",org)</f>
        <v>ПАО "ОГК-2"</v>
      </c>
      <c r="T25" s="2249"/>
      <c r="U25" s="2249"/>
      <c r="V25" s="2249"/>
      <c r="W25" s="2249"/>
      <c r="X25" s="2249"/>
      <c r="Y25" s="2249"/>
      <c r="Z25" s="2249"/>
      <c r="AA25" s="2249"/>
      <c r="AB25" s="2249"/>
      <c r="AC25" s="2249"/>
      <c r="AD25" s="2249"/>
      <c r="AE25" s="2249"/>
      <c r="AF25" s="2249"/>
      <c r="AG25" s="2249"/>
      <c r="AH25" s="2249"/>
      <c r="AI25" s="1243"/>
      <c r="AQ25" s="1155">
        <v>14</v>
      </c>
    </row>
    <row customHeight="1" ht="14.25" hidden="1">
      <c r="Q26" s="376"/>
      <c r="R26" s="376"/>
      <c r="S26" s="1275"/>
      <c r="T26" s="363"/>
      <c r="U26" s="363"/>
      <c r="V26" s="322"/>
      <c r="W26" s="322"/>
      <c r="X26" s="322"/>
      <c r="Y26" s="322"/>
      <c r="Z26" s="322"/>
      <c r="AA26" s="322"/>
      <c r="AB26" s="322"/>
      <c r="AC26" s="322"/>
      <c r="AD26" s="322"/>
      <c r="AE26" s="322"/>
      <c r="AF26" s="322"/>
      <c r="AG26" s="322"/>
      <c r="AH26" s="322"/>
      <c r="AI26" s="322"/>
      <c r="AJ26" s="509"/>
      <c r="AQ26" s="1155">
        <v>0</v>
      </c>
    </row>
    <row s="1853" customFormat="1" customHeight="1" ht="25.5" hidden="1">
      <c r="A27" s="1368"/>
      <c r="B27" s="1368"/>
      <c r="C27" s="1368"/>
      <c r="D27" s="1368"/>
      <c r="E27" s="1368"/>
      <c r="F27" s="1368"/>
      <c r="G27" s="1368"/>
      <c r="H27" s="1368"/>
      <c r="I27" s="1368"/>
      <c r="J27" s="1368"/>
      <c r="K27" s="1368"/>
      <c r="L27" s="1369"/>
      <c r="M27" s="1368"/>
      <c r="N27" s="1368"/>
      <c r="O27" s="1368"/>
      <c r="S27" s="2250" t="s">
        <v>42</v>
      </c>
      <c r="T27" s="2250"/>
      <c r="U27" s="1372"/>
      <c r="V27" s="2251" t="str">
        <f>IF(TITLE_NAME_OR_PR_CHANGE="",IF(TITLE_NAME_OR_PR="","",TITLE_NAME_OR_PR),TITLE_NAME_OR_PR_CHANGE)</f>
        <v/>
      </c>
      <c r="W27" s="2251"/>
      <c r="X27" s="2251"/>
      <c r="Y27" s="2251"/>
      <c r="Z27" s="2251"/>
      <c r="AA27" s="2251"/>
      <c r="AB27" s="326"/>
      <c r="AC27" s="2251" t="str">
        <f>IF(TITLE_NAME_OR_PR_CHANGE="",IF(TITLE_NAME_OR_PR="","",TITLE_NAME_OR_PR),TITLE_NAME_OR_PR_CHANGE)</f>
        <v/>
      </c>
      <c r="AD27" s="2251"/>
      <c r="AE27" s="2251"/>
      <c r="AF27" s="2251"/>
      <c r="AG27" s="2251"/>
      <c r="AH27" s="2251"/>
      <c r="AI27" s="326"/>
      <c r="AJ27" s="326"/>
      <c r="AK27" s="280"/>
      <c r="AL27" s="368"/>
      <c r="AM27" s="368"/>
      <c r="AN27" s="368"/>
      <c r="AO27" s="368"/>
      <c r="AP27" s="368"/>
      <c r="AQ27" s="418">
        <v>0</v>
      </c>
    </row>
    <row s="1853" customFormat="1" customHeight="1" ht="18.75" hidden="1">
      <c r="A28" s="1368"/>
      <c r="B28" s="1368"/>
      <c r="C28" s="1368"/>
      <c r="D28" s="1368"/>
      <c r="E28" s="1368"/>
      <c r="F28" s="1368"/>
      <c r="G28" s="1368"/>
      <c r="H28" s="1368"/>
      <c r="I28" s="1368"/>
      <c r="J28" s="1368"/>
      <c r="K28" s="1368"/>
      <c r="L28" s="1369"/>
      <c r="M28" s="1368"/>
      <c r="N28" s="1368"/>
      <c r="O28" s="1368"/>
      <c r="S28" s="2250" t="s">
        <v>425</v>
      </c>
      <c r="T28" s="2250"/>
      <c r="U28" s="1372"/>
      <c r="V28" s="2264" t="str">
        <f>IF(TITLE_DATE_PR_CHANGE="",IF(TITLE_DATE_PR="","",TITLE_DATE_PR),TITLE_DATE_PR_CHANGE)</f>
        <v/>
      </c>
      <c r="W28" s="2264"/>
      <c r="X28" s="2264"/>
      <c r="Y28" s="2264"/>
      <c r="Z28" s="2264"/>
      <c r="AA28" s="2264"/>
      <c r="AB28" s="326"/>
      <c r="AC28" s="2264" t="str">
        <f>IF(TITLE_DATE_PR_CHANGE="",IF(TITLE_DATE_PR="","",TITLE_DATE_PR),TITLE_DATE_PR_CHANGE)</f>
        <v/>
      </c>
      <c r="AD28" s="2264"/>
      <c r="AE28" s="2264"/>
      <c r="AF28" s="2264"/>
      <c r="AG28" s="2264"/>
      <c r="AH28" s="2264"/>
      <c r="AI28" s="326"/>
      <c r="AJ28" s="326"/>
      <c r="AK28" s="280"/>
      <c r="AL28" s="368"/>
      <c r="AM28" s="368"/>
      <c r="AN28" s="368"/>
      <c r="AO28" s="368"/>
      <c r="AP28" s="368"/>
      <c r="AQ28" s="418">
        <v>0</v>
      </c>
    </row>
    <row s="1853" customFormat="1" customHeight="1" ht="18.75" hidden="1">
      <c r="A29" s="1368"/>
      <c r="B29" s="1368"/>
      <c r="C29" s="1368"/>
      <c r="D29" s="1368"/>
      <c r="E29" s="1368"/>
      <c r="F29" s="1368"/>
      <c r="G29" s="1368"/>
      <c r="H29" s="1368"/>
      <c r="I29" s="1368"/>
      <c r="J29" s="1368"/>
      <c r="K29" s="1368"/>
      <c r="L29" s="1369"/>
      <c r="M29" s="1368"/>
      <c r="N29" s="1368"/>
      <c r="O29" s="1368"/>
      <c r="S29" s="2250" t="s">
        <v>426</v>
      </c>
      <c r="T29" s="2250"/>
      <c r="U29" s="1372"/>
      <c r="V29" s="2251" t="str">
        <f>IF(TITLE_NUMBER_PR_CHANGE="",IF(TITLE_NUMBER_PR="","",TITLE_NUMBER_PR),TITLE_NUMBER_PR_CHANGE)</f>
        <v/>
      </c>
      <c r="W29" s="2251"/>
      <c r="X29" s="2251"/>
      <c r="Y29" s="2251"/>
      <c r="Z29" s="2251"/>
      <c r="AA29" s="2251"/>
      <c r="AB29" s="326"/>
      <c r="AC29" s="2251" t="str">
        <f>IF(TITLE_NUMBER_PR_CHANGE="",IF(TITLE_NUMBER_PR="","",TITLE_NUMBER_PR),TITLE_NUMBER_PR_CHANGE)</f>
        <v/>
      </c>
      <c r="AD29" s="2251"/>
      <c r="AE29" s="2251"/>
      <c r="AF29" s="2251"/>
      <c r="AG29" s="2251"/>
      <c r="AH29" s="2251"/>
      <c r="AI29" s="326"/>
      <c r="AJ29" s="326"/>
      <c r="AK29" s="280"/>
      <c r="AL29" s="368"/>
      <c r="AM29" s="368"/>
      <c r="AN29" s="368"/>
      <c r="AO29" s="368"/>
      <c r="AP29" s="368"/>
      <c r="AQ29" s="418">
        <v>0</v>
      </c>
    </row>
    <row s="1853" customFormat="1" customHeight="1" ht="18.75" hidden="1">
      <c r="A30" s="1368"/>
      <c r="B30" s="1368"/>
      <c r="C30" s="1368"/>
      <c r="D30" s="1368"/>
      <c r="E30" s="1368"/>
      <c r="F30" s="1368"/>
      <c r="G30" s="1368"/>
      <c r="H30" s="1368"/>
      <c r="I30" s="1368"/>
      <c r="J30" s="1368"/>
      <c r="K30" s="1368"/>
      <c r="L30" s="1369"/>
      <c r="M30" s="1368"/>
      <c r="N30" s="1368"/>
      <c r="O30" s="1368"/>
      <c r="S30" s="2250" t="s">
        <v>43</v>
      </c>
      <c r="T30" s="2250"/>
      <c r="U30" s="1372"/>
      <c r="V30" s="2251" t="str">
        <f>IF(TITLE_IST_PUB_CHANGE="",IF(TITLE_IST_PUB="","",TITLE_IST_PUB),TITLE_IST_PUB_CHANGE)</f>
        <v/>
      </c>
      <c r="W30" s="2251"/>
      <c r="X30" s="2251"/>
      <c r="Y30" s="2251"/>
      <c r="Z30" s="2251"/>
      <c r="AA30" s="2251"/>
      <c r="AB30" s="326"/>
      <c r="AC30" s="2251" t="str">
        <f>IF(TITLE_IST_PUB_CHANGE="",IF(TITLE_IST_PUB="","",TITLE_IST_PUB),TITLE_IST_PUB_CHANGE)</f>
        <v/>
      </c>
      <c r="AD30" s="2251"/>
      <c r="AE30" s="2251"/>
      <c r="AF30" s="2251"/>
      <c r="AG30" s="2251"/>
      <c r="AH30" s="2251"/>
      <c r="AI30" s="326"/>
      <c r="AJ30" s="326"/>
      <c r="AK30" s="280"/>
      <c r="AL30" s="368"/>
      <c r="AM30" s="368"/>
      <c r="AN30" s="368"/>
      <c r="AO30" s="368"/>
      <c r="AP30" s="368"/>
      <c r="AQ30" s="418">
        <v>0</v>
      </c>
    </row>
    <row customHeight="1" ht="14.25" hidden="1">
      <c r="Q31" s="376"/>
      <c r="R31" s="376"/>
      <c r="S31" s="1275"/>
      <c r="T31" s="363"/>
      <c r="U31" s="363"/>
      <c r="V31" s="322"/>
      <c r="W31" s="322"/>
      <c r="X31" s="322"/>
      <c r="Y31" s="322"/>
      <c r="Z31" s="322"/>
      <c r="AA31" s="322"/>
      <c r="AB31" s="322"/>
      <c r="AC31" s="322"/>
      <c r="AD31" s="322"/>
      <c r="AE31" s="322"/>
      <c r="AF31" s="322"/>
      <c r="AG31" s="322"/>
      <c r="AH31" s="322"/>
      <c r="AI31" s="322"/>
      <c r="AJ31" s="509"/>
      <c r="AQ31" s="1155">
        <v>0</v>
      </c>
    </row>
    <row s="1853" customFormat="1" customHeight="1" ht="18.75" hidden="1">
      <c r="A32" s="1368"/>
      <c r="B32" s="1368"/>
      <c r="C32" s="1368"/>
      <c r="D32" s="1368"/>
      <c r="E32" s="1368"/>
      <c r="F32" s="1368"/>
      <c r="G32" s="1368"/>
      <c r="H32" s="1368"/>
      <c r="I32" s="1368"/>
      <c r="J32" s="1368"/>
      <c r="K32" s="1368"/>
      <c r="L32" s="1369"/>
      <c r="M32" s="1368"/>
      <c r="N32" s="1368"/>
      <c r="O32" s="1368"/>
      <c r="S32" s="2250" t="s">
        <v>427</v>
      </c>
      <c r="T32" s="2250"/>
      <c r="U32" s="1372"/>
      <c r="V32" s="2264" t="str">
        <f>IF(TITLE_DATE_PR_CHANGE="",IF(TITLE_DATE_PR="","",TITLE_DATE_PR),TITLE_DATE_PR_CHANGE)</f>
        <v/>
      </c>
      <c r="W32" s="2264"/>
      <c r="X32" s="2264"/>
      <c r="Y32" s="2264"/>
      <c r="Z32" s="2264"/>
      <c r="AA32" s="2264"/>
      <c r="AB32" s="326"/>
      <c r="AC32" s="2264" t="str">
        <f>IF(TITLE_DATE_PR_CHANGE="",IF(TITLE_DATE_PR="","",TITLE_DATE_PR),TITLE_DATE_PR_CHANGE)</f>
        <v/>
      </c>
      <c r="AD32" s="2264"/>
      <c r="AE32" s="2264"/>
      <c r="AF32" s="2264"/>
      <c r="AG32" s="2264"/>
      <c r="AH32" s="2264"/>
      <c r="AI32" s="326"/>
      <c r="AJ32" s="326"/>
      <c r="AK32" s="280"/>
      <c r="AL32" s="368"/>
      <c r="AM32" s="368"/>
      <c r="AN32" s="368"/>
      <c r="AO32" s="368"/>
      <c r="AP32" s="368"/>
      <c r="AQ32" s="418">
        <v>0</v>
      </c>
    </row>
    <row s="1853" customFormat="1" customHeight="1" ht="18.75" hidden="1">
      <c r="A33" s="1368"/>
      <c r="B33" s="1368"/>
      <c r="C33" s="1368"/>
      <c r="D33" s="1368"/>
      <c r="E33" s="1368"/>
      <c r="F33" s="1368"/>
      <c r="G33" s="1368"/>
      <c r="H33" s="1368"/>
      <c r="I33" s="1368"/>
      <c r="J33" s="1368"/>
      <c r="K33" s="1368"/>
      <c r="L33" s="1369"/>
      <c r="M33" s="1368"/>
      <c r="N33" s="1368"/>
      <c r="O33" s="1368"/>
      <c r="S33" s="2250" t="s">
        <v>428</v>
      </c>
      <c r="T33" s="2250"/>
      <c r="U33" s="1372"/>
      <c r="V33" s="2251" t="str">
        <f>IF(TITLE_NUMBER_PR_CHANGE="",IF(TITLE_NUMBER_PR="","",TITLE_NUMBER_PR),TITLE_NUMBER_PR_CHANGE)</f>
        <v/>
      </c>
      <c r="W33" s="2251"/>
      <c r="X33" s="2251"/>
      <c r="Y33" s="2251"/>
      <c r="Z33" s="2251"/>
      <c r="AA33" s="2251"/>
      <c r="AB33" s="326"/>
      <c r="AC33" s="2251" t="str">
        <f>IF(TITLE_NUMBER_PR_CHANGE="",IF(TITLE_NUMBER_PR="","",TITLE_NUMBER_PR),TITLE_NUMBER_PR_CHANGE)</f>
        <v/>
      </c>
      <c r="AD33" s="2251"/>
      <c r="AE33" s="2251"/>
      <c r="AF33" s="2251"/>
      <c r="AG33" s="2251"/>
      <c r="AH33" s="2251"/>
      <c r="AI33" s="326"/>
      <c r="AJ33" s="326"/>
      <c r="AK33" s="280"/>
      <c r="AL33" s="368"/>
      <c r="AM33" s="368"/>
      <c r="AN33" s="368"/>
      <c r="AO33" s="368"/>
      <c r="AP33" s="368"/>
      <c r="AQ33" s="418">
        <v>0</v>
      </c>
    </row>
    <row s="1853" customFormat="1" customHeight="1" ht="1.05">
      <c r="A34" s="1368"/>
      <c r="B34" s="1368"/>
      <c r="C34" s="1368"/>
      <c r="D34" s="1368"/>
      <c r="E34" s="1368"/>
      <c r="F34" s="1368"/>
      <c r="G34" s="1368"/>
      <c r="H34" s="1368"/>
      <c r="I34" s="1368"/>
      <c r="J34" s="1368"/>
      <c r="K34" s="1368"/>
      <c r="L34" s="1369"/>
      <c r="M34" s="1368"/>
      <c r="N34" s="1368"/>
      <c r="O34" s="1368"/>
      <c r="S34" s="323"/>
      <c r="T34" s="323"/>
      <c r="U34" s="1355"/>
      <c r="V34" s="326"/>
      <c r="W34" s="326"/>
      <c r="X34" s="326"/>
      <c r="Y34" s="326"/>
      <c r="Z34" s="326"/>
      <c r="AA34" s="326"/>
      <c r="AB34" s="278" t="s">
        <v>429</v>
      </c>
      <c r="AC34" s="326"/>
      <c r="AD34" s="326"/>
      <c r="AE34" s="326"/>
      <c r="AF34" s="326"/>
      <c r="AG34" s="326"/>
      <c r="AH34" s="326"/>
      <c r="AI34" s="278" t="s">
        <v>429</v>
      </c>
      <c r="AL34" s="368"/>
      <c r="AM34" s="368"/>
      <c r="AN34" s="368"/>
      <c r="AO34" s="368"/>
      <c r="AP34" s="368"/>
      <c r="AQ34" s="418">
        <v>1</v>
      </c>
    </row>
    <row customHeight="1" ht="14.699999999999998">
      <c r="Q35" s="376"/>
      <c r="R35" s="376"/>
      <c r="S35" s="1275"/>
      <c r="T35" s="363"/>
      <c r="U35" s="1244"/>
      <c r="V35" s="2252"/>
      <c r="W35" s="2252"/>
      <c r="X35" s="2252"/>
      <c r="Y35" s="2252"/>
      <c r="Z35" s="2252"/>
      <c r="AA35" s="2252"/>
      <c r="AB35" s="2252"/>
      <c r="AC35" s="2252"/>
      <c r="AD35" s="2252"/>
      <c r="AE35" s="2252"/>
      <c r="AF35" s="2252"/>
      <c r="AG35" s="2252"/>
      <c r="AH35" s="2252"/>
      <c r="AI35" s="2252"/>
      <c r="AQ35" s="1155">
        <v>14</v>
      </c>
    </row>
    <row customHeight="1" ht="14.699999999999998">
      <c r="Q36" s="376"/>
      <c r="R36" s="376"/>
      <c r="S36" s="2127" t="s">
        <v>302</v>
      </c>
      <c r="T36" s="2127"/>
      <c r="U36" s="2127"/>
      <c r="V36" s="2127"/>
      <c r="W36" s="2127"/>
      <c r="X36" s="2127"/>
      <c r="Y36" s="2127"/>
      <c r="Z36" s="2127"/>
      <c r="AA36" s="2127"/>
      <c r="AB36" s="2127"/>
      <c r="AC36" s="2127"/>
      <c r="AD36" s="2127"/>
      <c r="AE36" s="2127"/>
      <c r="AF36" s="2127"/>
      <c r="AG36" s="2127"/>
      <c r="AH36" s="2127"/>
      <c r="AI36" s="2127"/>
      <c r="AJ36" s="2127"/>
      <c r="AK36" s="2127" t="s">
        <v>303</v>
      </c>
      <c r="AQ36" s="1155">
        <v>14</v>
      </c>
    </row>
    <row customHeight="1" ht="14.699999999999998">
      <c r="Q37" s="376"/>
      <c r="R37" s="376"/>
      <c r="S37" s="2273" t="s">
        <v>88</v>
      </c>
      <c r="T37" s="2209" t="s">
        <v>430</v>
      </c>
      <c r="U37" s="301"/>
      <c r="V37" s="2274" t="s">
        <v>431</v>
      </c>
      <c r="W37" s="2275"/>
      <c r="X37" s="2275"/>
      <c r="Y37" s="2275"/>
      <c r="Z37" s="2275"/>
      <c r="AA37" s="2276"/>
      <c r="AB37" s="2277" t="s">
        <v>432</v>
      </c>
      <c r="AC37" s="2274" t="s">
        <v>431</v>
      </c>
      <c r="AD37" s="2275"/>
      <c r="AE37" s="2275"/>
      <c r="AF37" s="2275"/>
      <c r="AG37" s="2275"/>
      <c r="AH37" s="2276"/>
      <c r="AI37" s="2277" t="s">
        <v>433</v>
      </c>
      <c r="AJ37" s="2280" t="s">
        <v>434</v>
      </c>
      <c r="AK37" s="2127"/>
      <c r="AQ37" s="1155">
        <v>14</v>
      </c>
    </row>
    <row customHeight="1" ht="35.699999999999996">
      <c r="Q38" s="376"/>
      <c r="R38" s="376"/>
      <c r="S38" s="2273"/>
      <c r="T38" s="2209"/>
      <c r="U38" s="1031"/>
      <c r="V38" s="1352" t="s">
        <v>491</v>
      </c>
      <c r="W38" s="2262" t="s">
        <v>437</v>
      </c>
      <c r="X38" s="2263"/>
      <c r="Y38" s="2262" t="s">
        <v>438</v>
      </c>
      <c r="Z38" s="2269"/>
      <c r="AA38" s="2263"/>
      <c r="AB38" s="2278"/>
      <c r="AC38" s="1352" t="s">
        <v>491</v>
      </c>
      <c r="AD38" s="2262" t="s">
        <v>437</v>
      </c>
      <c r="AE38" s="2263"/>
      <c r="AF38" s="2262" t="s">
        <v>438</v>
      </c>
      <c r="AG38" s="2269"/>
      <c r="AH38" s="2263"/>
      <c r="AI38" s="2278"/>
      <c r="AJ38" s="2281"/>
      <c r="AK38" s="2127"/>
      <c r="AQ38" s="1155">
        <v>34</v>
      </c>
    </row>
    <row customHeight="1" ht="35.699999999999996">
      <c r="A39" s="1370"/>
      <c r="B39" s="1370" t="s">
        <v>139</v>
      </c>
      <c r="C39" s="1370" t="s">
        <v>140</v>
      </c>
      <c r="D39" s="1370" t="s">
        <v>141</v>
      </c>
      <c r="E39" s="1364" t="s">
        <v>439</v>
      </c>
      <c r="F39" s="1364" t="s">
        <v>440</v>
      </c>
      <c r="G39" s="1364" t="s">
        <v>441</v>
      </c>
      <c r="H39" s="1364"/>
      <c r="I39" s="1364" t="s">
        <v>492</v>
      </c>
      <c r="J39" s="1364" t="s">
        <v>444</v>
      </c>
      <c r="K39" s="1364" t="s">
        <v>493</v>
      </c>
      <c r="L39" s="1364" t="s">
        <v>420</v>
      </c>
      <c r="Q39" s="376"/>
      <c r="R39" s="376"/>
      <c r="S39" s="2273"/>
      <c r="T39" s="2209"/>
      <c r="U39" s="302"/>
      <c r="V39" s="1352" t="s">
        <v>494</v>
      </c>
      <c r="W39" s="1222" t="s">
        <v>495</v>
      </c>
      <c r="X39" s="1222" t="s">
        <v>496</v>
      </c>
      <c r="Y39" s="1357" t="s">
        <v>448</v>
      </c>
      <c r="Z39" s="2270" t="s">
        <v>449</v>
      </c>
      <c r="AA39" s="2271"/>
      <c r="AB39" s="2279"/>
      <c r="AC39" s="1352" t="s">
        <v>494</v>
      </c>
      <c r="AD39" s="1222" t="s">
        <v>495</v>
      </c>
      <c r="AE39" s="1222" t="s">
        <v>496</v>
      </c>
      <c r="AF39" s="1357" t="s">
        <v>448</v>
      </c>
      <c r="AG39" s="2270" t="s">
        <v>449</v>
      </c>
      <c r="AH39" s="2271"/>
      <c r="AI39" s="2279"/>
      <c r="AJ39" s="2282"/>
      <c r="AK39" s="2127"/>
      <c r="AQ39" s="1155">
        <v>34</v>
      </c>
    </row>
    <row s="1641" customFormat="1" customHeight="1" ht="11.25" hidden="1">
      <c r="A40" s="1370"/>
      <c r="B40" s="1370"/>
      <c r="C40" s="1370"/>
      <c r="D40" s="1370"/>
      <c r="E40" s="1370"/>
      <c r="F40" s="1370"/>
      <c r="G40" s="1370"/>
      <c r="H40" s="1370"/>
      <c r="I40" s="1370"/>
      <c r="J40" s="1370"/>
      <c r="K40" s="1370"/>
      <c r="L40" s="1364"/>
      <c r="M40" s="1362"/>
      <c r="N40" s="1362"/>
      <c r="O40" s="1362"/>
      <c r="P40" s="1246"/>
      <c r="Q40" s="1247"/>
      <c r="R40" s="1254">
        <v>1</v>
      </c>
      <c r="S40" s="1277" t="s">
        <v>109</v>
      </c>
      <c r="T40" s="1255" t="s">
        <v>110</v>
      </c>
      <c r="U40" s="1245" t="str">
        <f>OFFSET(U40,0,-1)</f>
        <v>2</v>
      </c>
      <c r="V40" s="1353">
        <f>OFFSET(V40,0,-1)+1</f>
        <v>3</v>
      </c>
      <c r="W40" s="1353">
        <f>OFFSET(W40,0,-1)+1</f>
        <v>4</v>
      </c>
      <c r="X40" s="1353">
        <f>OFFSET(X40,0,-1)+1</f>
        <v>5</v>
      </c>
      <c r="Y40" s="1353">
        <f>OFFSET(Y40,0,-1)+1</f>
        <v>6</v>
      </c>
      <c r="Z40" s="2272">
        <f>OFFSET(Z40,0,-1)+1</f>
        <v>7</v>
      </c>
      <c r="AA40" s="2272"/>
      <c r="AB40" s="1353">
        <f>OFFSET(AB40,0,-2)+1</f>
        <v>8</v>
      </c>
      <c r="AC40" s="1353">
        <f>OFFSET(AC40,0,-1)+1</f>
        <v>9</v>
      </c>
      <c r="AD40" s="1353">
        <f>OFFSET(AD40,0,-1)+1</f>
        <v>10</v>
      </c>
      <c r="AE40" s="1353">
        <f>OFFSET(AE40,0,-1)+1</f>
        <v>11</v>
      </c>
      <c r="AF40" s="1353">
        <f>OFFSET(AF40,0,-1)+1</f>
        <v>12</v>
      </c>
      <c r="AG40" s="2272">
        <f>OFFSET(AG40,0,-1)+1</f>
        <v>13</v>
      </c>
      <c r="AH40" s="2272"/>
      <c r="AI40" s="1353">
        <f>OFFSET(AI40,0,-2)+1</f>
        <v>14</v>
      </c>
      <c r="AJ40" s="1245">
        <f>OFFSET(AJ40,0,-1)</f>
        <v>14</v>
      </c>
      <c r="AK40" s="1353">
        <f>OFFSET(AK40,0,-1)+1</f>
        <v>15</v>
      </c>
      <c r="AL40" s="511"/>
      <c r="AM40" s="511"/>
      <c r="AN40" s="511"/>
      <c r="AO40" s="511"/>
      <c r="AP40" s="511"/>
      <c r="AQ40" s="496">
        <v>0</v>
      </c>
    </row>
    <row customHeight="1" ht="24">
      <c r="A41" s="1363" t="s">
        <v>228</v>
      </c>
      <c r="B41" s="1363"/>
      <c r="C41" s="1363"/>
      <c r="D41" s="1363"/>
      <c r="E41" s="2258">
        <v>1</v>
      </c>
      <c r="F41" s="1363"/>
      <c r="G41" s="1363"/>
      <c r="H41" s="1363"/>
      <c r="I41" s="1363"/>
      <c r="J41" s="1363"/>
      <c r="K41" s="1363"/>
      <c r="L41" s="1364"/>
      <c r="M41" s="1365"/>
      <c r="N41" s="1365"/>
      <c r="O41" s="1365"/>
      <c r="P41" s="361"/>
      <c r="Q41" s="360"/>
      <c r="R41" s="355"/>
      <c r="S41" s="1358">
        <f>INDEX(PT_DIFFERENTIATION_NUM_NTAR,MATCH(A41,PT_DIFFERENTIATION_NTAR_ID,0))</f>
        <v>0</v>
      </c>
      <c r="T41" s="298" t="s">
        <v>127</v>
      </c>
      <c r="U41" s="300"/>
      <c r="V41" s="2242"/>
      <c r="W41" s="2243"/>
      <c r="X41" s="2243"/>
      <c r="Y41" s="2243"/>
      <c r="Z41" s="2243"/>
      <c r="AA41" s="2243"/>
      <c r="AB41" s="2244"/>
      <c r="AC41" s="2242" t="str">
        <f>INDEX(PT_DIFFERENTIATION_NTAR,MATCH(A41,PT_DIFFERENTIATION_NTAR_ID,0))</f>
        <v/>
      </c>
      <c r="AD41" s="2243"/>
      <c r="AE41" s="2243"/>
      <c r="AF41" s="2243"/>
      <c r="AG41" s="2243"/>
      <c r="AH41" s="2243"/>
      <c r="AI41" s="2243"/>
      <c r="AJ41" s="2244"/>
      <c r="AK41"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00"/>
      <c r="AN41" s="500" t="str">
        <f>IF(T41="","",T41)</f>
        <v>Наименование тарифа</v>
      </c>
      <c r="AO41" s="500"/>
      <c r="AP41" s="500"/>
      <c r="AQ41" s="1155">
        <v>23</v>
      </c>
    </row>
    <row customHeight="1" ht="24">
      <c r="A42" s="1363" t="s">
        <v>228</v>
      </c>
      <c r="B42" s="1363" t="s">
        <v>229</v>
      </c>
      <c r="C42" s="1363"/>
      <c r="D42" s="1363"/>
      <c r="E42" s="2259"/>
      <c r="F42" s="2258">
        <v>1</v>
      </c>
      <c r="G42" s="1363"/>
      <c r="H42" s="1363"/>
      <c r="I42" s="1363"/>
      <c r="J42" s="1363"/>
      <c r="K42" s="1363"/>
      <c r="L42" s="1364"/>
      <c r="M42" s="1365"/>
      <c r="N42" s="1365"/>
      <c r="O42" s="1365"/>
      <c r="P42" s="1356"/>
      <c r="Q42" s="352"/>
      <c r="R42" s="353"/>
      <c r="S42" s="1358" t="str">
        <f>INDEX(PT_DIFFERENTIATION_NUM_TER,MATCH(B42,PT_DIFFERENTIATION_TER_ID,0))</f>
        <v>.</v>
      </c>
      <c r="T42" s="308" t="s">
        <v>399</v>
      </c>
      <c r="U42" s="300"/>
      <c r="V42" s="2242"/>
      <c r="W42" s="2243"/>
      <c r="X42" s="2243"/>
      <c r="Y42" s="2243"/>
      <c r="Z42" s="2243"/>
      <c r="AA42" s="2243"/>
      <c r="AB42" s="2244"/>
      <c r="AC42" s="2242" t="str">
        <f>INDEX(PT_DIFFERENTIATION_TER,MATCH(B42,PT_DIFFERENTIATION_TER_ID,0))</f>
        <v/>
      </c>
      <c r="AD42" s="2243"/>
      <c r="AE42" s="2243"/>
      <c r="AF42" s="2243"/>
      <c r="AG42" s="2243"/>
      <c r="AH42" s="2243"/>
      <c r="AI42" s="2243"/>
      <c r="AJ42" s="2244"/>
      <c r="AK42" s="1258" t="s">
        <v>400</v>
      </c>
      <c r="AM42" s="500"/>
      <c r="AN42" s="500" t="str">
        <f>IF(T42="","",T42)</f>
        <v>Территория действия тарифа</v>
      </c>
      <c r="AO42" s="500"/>
      <c r="AP42" s="500"/>
      <c r="AQ42" s="1155">
        <v>23</v>
      </c>
    </row>
    <row customHeight="1" ht="24">
      <c r="A43" s="1363" t="s">
        <v>228</v>
      </c>
      <c r="B43" s="1363" t="s">
        <v>229</v>
      </c>
      <c r="C43" s="1363" t="s">
        <v>230</v>
      </c>
      <c r="D43" s="1363"/>
      <c r="E43" s="2259"/>
      <c r="F43" s="2259"/>
      <c r="G43" s="2258">
        <v>1</v>
      </c>
      <c r="H43" s="1363"/>
      <c r="I43" s="1363"/>
      <c r="J43" s="1363"/>
      <c r="K43" s="1363"/>
      <c r="L43" s="1364"/>
      <c r="M43" s="1365"/>
      <c r="N43" s="1365"/>
      <c r="O43" s="1365"/>
      <c r="P43" s="354"/>
      <c r="Q43" s="352"/>
      <c r="R43" s="353"/>
      <c r="S43" s="1358" t="str">
        <f>INDEX(PT_DIFFERENTIATION_NUM_CS,MATCH(C43,PT_DIFFERENTIATION_CS_ID,0))</f>
        <v>..</v>
      </c>
      <c r="T43" s="309" t="s">
        <v>483</v>
      </c>
      <c r="U43" s="300"/>
      <c r="V43" s="2242"/>
      <c r="W43" s="2243"/>
      <c r="X43" s="2243"/>
      <c r="Y43" s="2243"/>
      <c r="Z43" s="2243"/>
      <c r="AA43" s="2243"/>
      <c r="AB43" s="2244"/>
      <c r="AC43" s="2242" t="str">
        <f>INDEX(PT_DIFFERENTIATION_CS,MATCH(C43,PT_DIFFERENTIATION_CS_ID,0))</f>
        <v/>
      </c>
      <c r="AD43" s="2243"/>
      <c r="AE43" s="2243"/>
      <c r="AF43" s="2243"/>
      <c r="AG43" s="2243"/>
      <c r="AH43" s="2243"/>
      <c r="AI43" s="2243"/>
      <c r="AJ43" s="2244"/>
      <c r="AK43" s="1258" t="s">
        <v>484</v>
      </c>
      <c r="AM43" s="500"/>
      <c r="AN43" s="500" t="str">
        <f>IF(T43="","",T43)</f>
        <v>Наименование централизованной системы холодного водоснабжения</v>
      </c>
      <c r="AO43" s="500"/>
      <c r="AP43" s="500"/>
      <c r="AQ43" s="1155">
        <v>23</v>
      </c>
    </row>
    <row customHeight="1" ht="24">
      <c r="A44" s="1363" t="s">
        <v>228</v>
      </c>
      <c r="B44" s="1363" t="s">
        <v>229</v>
      </c>
      <c r="C44" s="1363" t="s">
        <v>230</v>
      </c>
      <c r="D44" s="1363" t="s">
        <v>497</v>
      </c>
      <c r="E44" s="2259"/>
      <c r="F44" s="2259"/>
      <c r="G44" s="2259"/>
      <c r="H44" s="2259"/>
      <c r="I44" s="2256" t="str">
        <f>S43&amp;".1"</f>
        <v>...1</v>
      </c>
      <c r="J44" s="1363"/>
      <c r="K44" s="1363"/>
      <c r="L44" s="1364"/>
      <c r="P44" s="2257">
        <v>1</v>
      </c>
      <c r="Q44" s="1354"/>
      <c r="R44" s="356"/>
      <c r="S44" s="1358" t="str">
        <f>$I44</f>
        <v>...1</v>
      </c>
      <c r="T44" s="285" t="s">
        <v>485</v>
      </c>
      <c r="U44" s="300"/>
      <c r="V44" s="2350"/>
      <c r="W44" s="2351"/>
      <c r="X44" s="2351"/>
      <c r="Y44" s="2351"/>
      <c r="Z44" s="2351"/>
      <c r="AA44" s="2351"/>
      <c r="AB44" s="2352"/>
      <c r="AC44" s="2353"/>
      <c r="AD44" s="2354"/>
      <c r="AE44" s="2354"/>
      <c r="AF44" s="2354"/>
      <c r="AG44" s="2354"/>
      <c r="AH44" s="2354"/>
      <c r="AI44" s="2354"/>
      <c r="AJ44" s="2355"/>
      <c r="AK44" s="1258" t="s">
        <v>486</v>
      </c>
      <c r="AM44" s="500"/>
      <c r="AN44" s="500" t="str">
        <f>IF(T44="","",T44)</f>
        <v>Наименование признака дифференциации</v>
      </c>
      <c r="AO44" s="500"/>
      <c r="AP44" s="500"/>
      <c r="AQ44" s="1155">
        <v>23</v>
      </c>
    </row>
    <row customHeight="1" ht="24">
      <c r="A45" s="1363" t="s">
        <v>228</v>
      </c>
      <c r="B45" s="1363" t="s">
        <v>229</v>
      </c>
      <c r="C45" s="1363" t="s">
        <v>230</v>
      </c>
      <c r="D45" s="1363" t="s">
        <v>497</v>
      </c>
      <c r="E45" s="2259"/>
      <c r="F45" s="2259"/>
      <c r="G45" s="2259"/>
      <c r="H45" s="2259"/>
      <c r="I45" s="2286"/>
      <c r="J45" s="2256" t="str">
        <f>I44&amp;".1"</f>
        <v>...1.1</v>
      </c>
      <c r="K45" s="1363"/>
      <c r="L45" s="1364" t="s">
        <v>408</v>
      </c>
      <c r="P45" s="2257"/>
      <c r="Q45" s="2257">
        <v>1</v>
      </c>
      <c r="R45" s="357"/>
      <c r="S45" s="1358" t="str">
        <f>$J45</f>
        <v>...1.1</v>
      </c>
      <c r="T45" s="286" t="s">
        <v>409</v>
      </c>
      <c r="U45" s="300"/>
      <c r="V45" s="2245"/>
      <c r="W45" s="2246"/>
      <c r="X45" s="2246"/>
      <c r="Y45" s="2246"/>
      <c r="Z45" s="2246"/>
      <c r="AA45" s="2246"/>
      <c r="AB45" s="2247"/>
      <c r="AC45" s="2245"/>
      <c r="AD45" s="2246"/>
      <c r="AE45" s="2246"/>
      <c r="AF45" s="2246"/>
      <c r="AG45" s="2246"/>
      <c r="AH45" s="2246"/>
      <c r="AI45" s="2246"/>
      <c r="AJ45" s="2247"/>
      <c r="AK45" s="1307" t="s">
        <v>487</v>
      </c>
      <c r="AM45" s="500"/>
      <c r="AN45" s="500" t="str">
        <f>IF(T45="","",T45)</f>
        <v>Группа потребителей</v>
      </c>
      <c r="AO45" s="500"/>
      <c r="AP45" s="500"/>
      <c r="AQ45" s="1155">
        <v>23</v>
      </c>
    </row>
    <row customHeight="1" ht="24">
      <c r="A46" s="1363" t="s">
        <v>228</v>
      </c>
      <c r="B46" s="1363" t="s">
        <v>229</v>
      </c>
      <c r="C46" s="1363" t="s">
        <v>230</v>
      </c>
      <c r="D46" s="1363" t="s">
        <v>497</v>
      </c>
      <c r="E46" s="2259"/>
      <c r="F46" s="2259"/>
      <c r="G46" s="2259"/>
      <c r="H46" s="2259"/>
      <c r="I46" s="2286"/>
      <c r="J46" s="2286"/>
      <c r="K46" s="2256" t="str">
        <f>J45&amp;".1"</f>
        <v>...1.1.1</v>
      </c>
      <c r="L46" s="1364"/>
      <c r="P46" s="2257"/>
      <c r="Q46" s="2257"/>
      <c r="R46" s="357">
        <v>1</v>
      </c>
      <c r="S46" s="1358" t="str">
        <f>$K46</f>
        <v>...1.1.1</v>
      </c>
      <c r="T46" s="1437"/>
      <c r="U46" s="300"/>
      <c r="V46" s="1360"/>
      <c r="W46" s="1360"/>
      <c r="X46" s="1361"/>
      <c r="Y46" s="2267"/>
      <c r="Z46" s="2268" t="s">
        <v>66</v>
      </c>
      <c r="AA46" s="2267"/>
      <c r="AB46" s="2268" t="s">
        <v>66</v>
      </c>
      <c r="AC46" s="751"/>
      <c r="AD46" s="751"/>
      <c r="AE46" s="1257"/>
      <c r="AF46" s="2265"/>
      <c r="AG46" s="2107" t="s">
        <v>66</v>
      </c>
      <c r="AH46" s="2287"/>
      <c r="AI46" s="2107" t="s">
        <v>19</v>
      </c>
      <c r="AJ46" s="1438"/>
      <c r="AK46" s="234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1">
        <f>STRCHECKDATE(V47:AJ47)</f>
      </c>
      <c r="AM46" s="500"/>
      <c r="AN46" s="500" t="str">
        <f>IF(T46="","",T46)</f>
        <v/>
      </c>
      <c r="AO46" s="500"/>
      <c r="AP46" s="500"/>
      <c r="AQ46" s="1155">
        <v>23</v>
      </c>
    </row>
    <row customHeight="1" ht="0">
      <c r="A47" s="1363" t="s">
        <v>228</v>
      </c>
      <c r="B47" s="1363" t="s">
        <v>229</v>
      </c>
      <c r="C47" s="1363" t="s">
        <v>230</v>
      </c>
      <c r="D47" s="1363" t="s">
        <v>497</v>
      </c>
      <c r="E47" s="2259"/>
      <c r="F47" s="2259"/>
      <c r="G47" s="2259"/>
      <c r="H47" s="2259"/>
      <c r="I47" s="2286"/>
      <c r="J47" s="2286"/>
      <c r="K47" s="2256"/>
      <c r="L47" s="1364"/>
      <c r="P47" s="2257"/>
      <c r="Q47" s="2257"/>
      <c r="R47" s="357"/>
      <c r="S47" s="1359"/>
      <c r="T47" s="300"/>
      <c r="U47" s="300"/>
      <c r="V47" s="1360"/>
      <c r="W47" s="1360"/>
      <c r="X47" s="328" t="str">
        <f>Y46&amp;"-"&amp;AA46</f>
        <v>-</v>
      </c>
      <c r="Y47" s="2268"/>
      <c r="Z47" s="2268"/>
      <c r="AA47" s="2268"/>
      <c r="AB47" s="2268"/>
      <c r="AC47" s="325"/>
      <c r="AD47" s="325"/>
      <c r="AE47" s="328" t="str">
        <f>AF46&amp;"-"&amp;AH46</f>
        <v>-</v>
      </c>
      <c r="AF47" s="2266"/>
      <c r="AG47" s="2107"/>
      <c r="AH47" s="2288"/>
      <c r="AI47" s="2107"/>
      <c r="AJ47" s="1439"/>
      <c r="AK47" s="2349"/>
      <c r="AM47" s="500"/>
      <c r="AN47" s="500" t="str">
        <f>IF(T47="","",T47)</f>
        <v/>
      </c>
      <c r="AO47" s="500"/>
      <c r="AP47" s="500"/>
      <c r="AQ47" s="1155">
        <v>0</v>
      </c>
    </row>
    <row customHeight="1" ht="21">
      <c r="A48" s="1363" t="s">
        <v>228</v>
      </c>
      <c r="B48" s="1363" t="s">
        <v>229</v>
      </c>
      <c r="C48" s="1363" t="s">
        <v>230</v>
      </c>
      <c r="D48" s="1363" t="s">
        <v>497</v>
      </c>
      <c r="E48" s="2259"/>
      <c r="F48" s="2259"/>
      <c r="G48" s="2259"/>
      <c r="H48" s="2259"/>
      <c r="I48" s="2286"/>
      <c r="J48" s="2256"/>
      <c r="K48" s="1363"/>
      <c r="L48" s="1364"/>
      <c r="P48" s="2257"/>
      <c r="Q48" s="2257"/>
      <c r="R48" s="356"/>
      <c r="S48" s="1278"/>
      <c r="T48" s="287" t="s">
        <v>488</v>
      </c>
      <c r="U48" s="367"/>
      <c r="V48" s="367"/>
      <c r="W48" s="367"/>
      <c r="X48" s="367"/>
      <c r="Y48" s="367"/>
      <c r="Z48" s="367"/>
      <c r="AA48" s="367"/>
      <c r="AB48" s="367"/>
      <c r="AC48" s="367"/>
      <c r="AD48" s="367"/>
      <c r="AE48" s="367"/>
      <c r="AF48" s="367"/>
      <c r="AG48" s="367"/>
      <c r="AH48" s="367"/>
      <c r="AI48" s="367"/>
      <c r="AJ48" s="367"/>
      <c r="AK48" s="1258" t="s">
        <v>489</v>
      </c>
      <c r="AM48" s="500"/>
      <c r="AN48" s="500" t="str">
        <f>IF(T48="","",T48)</f>
        <v>Добавить значение признака дифференциации</v>
      </c>
      <c r="AO48" s="500"/>
      <c r="AP48" s="500"/>
      <c r="AQ48" s="1155">
        <v>20</v>
      </c>
    </row>
    <row customHeight="1" ht="22.049999999999997">
      <c r="A49" s="1363" t="s">
        <v>228</v>
      </c>
      <c r="B49" s="1363" t="s">
        <v>229</v>
      </c>
      <c r="C49" s="1363" t="s">
        <v>230</v>
      </c>
      <c r="D49" s="1363" t="s">
        <v>497</v>
      </c>
      <c r="E49" s="2259"/>
      <c r="F49" s="2259"/>
      <c r="G49" s="2259"/>
      <c r="H49" s="2259"/>
      <c r="I49" s="2256"/>
      <c r="J49" s="1363"/>
      <c r="K49" s="1363"/>
      <c r="L49" s="1364"/>
      <c r="P49" s="2257"/>
      <c r="Q49" s="1354"/>
      <c r="R49" s="356"/>
      <c r="S49" s="1278"/>
      <c r="T49" s="365" t="s">
        <v>414</v>
      </c>
      <c r="U49" s="367"/>
      <c r="V49" s="367"/>
      <c r="W49" s="367"/>
      <c r="X49" s="367"/>
      <c r="Y49" s="367"/>
      <c r="Z49" s="367"/>
      <c r="AA49" s="367"/>
      <c r="AB49" s="366"/>
      <c r="AC49" s="367"/>
      <c r="AD49" s="367"/>
      <c r="AE49" s="367"/>
      <c r="AF49" s="367"/>
      <c r="AG49" s="367"/>
      <c r="AH49" s="367"/>
      <c r="AI49" s="366"/>
      <c r="AJ49" s="367"/>
      <c r="AK49" s="1440"/>
      <c r="AM49" s="500"/>
      <c r="AN49" s="500" t="str">
        <f>IF(T49="","",T49)</f>
        <v>Добавить группу потребителей</v>
      </c>
      <c r="AO49" s="500"/>
      <c r="AP49" s="500"/>
      <c r="AQ49" s="1155">
        <v>21</v>
      </c>
    </row>
    <row customHeight="1" ht="22.049999999999997">
      <c r="A50" s="1363" t="s">
        <v>228</v>
      </c>
      <c r="B50" s="1363" t="s">
        <v>229</v>
      </c>
      <c r="C50" s="1363" t="s">
        <v>230</v>
      </c>
      <c r="D50" s="1363" t="s">
        <v>497</v>
      </c>
      <c r="E50" s="2259"/>
      <c r="F50" s="2259"/>
      <c r="G50" s="2259"/>
      <c r="H50" s="2258"/>
      <c r="I50" s="1363"/>
      <c r="J50" s="1363"/>
      <c r="K50" s="1363"/>
      <c r="L50" s="1364"/>
      <c r="M50" s="1365"/>
      <c r="N50" s="1365"/>
      <c r="O50" s="537"/>
      <c r="P50" s="360"/>
      <c r="Q50" s="375"/>
      <c r="R50" s="355"/>
      <c r="S50" s="1278"/>
      <c r="T50" s="372" t="s">
        <v>490</v>
      </c>
      <c r="U50" s="367"/>
      <c r="V50" s="367"/>
      <c r="W50" s="367"/>
      <c r="X50" s="367"/>
      <c r="Y50" s="367"/>
      <c r="Z50" s="367"/>
      <c r="AA50" s="367"/>
      <c r="AB50" s="366"/>
      <c r="AC50" s="367"/>
      <c r="AD50" s="367"/>
      <c r="AE50" s="367"/>
      <c r="AF50" s="367"/>
      <c r="AG50" s="367"/>
      <c r="AH50" s="367"/>
      <c r="AI50" s="366"/>
      <c r="AJ50" s="367"/>
      <c r="AK50" s="303"/>
      <c r="AM50" s="500"/>
      <c r="AN50" s="500" t="str">
        <f>IF(T50="","",T50)</f>
        <v>Добавить наименование признака дифференциации</v>
      </c>
      <c r="AO50" s="500"/>
      <c r="AP50" s="500"/>
      <c r="AQ50" s="1155">
        <v>21</v>
      </c>
    </row>
    <row s="1642" customFormat="1" customHeight="1" ht="0">
      <c r="A51" s="1343" t="s">
        <v>228</v>
      </c>
      <c r="B51" s="1343" t="s">
        <v>229</v>
      </c>
      <c r="C51" s="1314"/>
      <c r="D51" s="1314"/>
      <c r="E51" s="2259"/>
      <c r="F51" s="2258"/>
      <c r="G51" s="1314"/>
      <c r="H51" s="1314"/>
      <c r="I51" s="1314"/>
      <c r="J51" s="1314"/>
      <c r="K51" s="1314"/>
      <c r="L51" s="1426"/>
      <c r="M51" s="1321"/>
      <c r="N51" s="1321"/>
      <c r="P51" s="1316"/>
      <c r="Q51" s="1317"/>
      <c r="R51" s="1316"/>
      <c r="S51" s="1322"/>
      <c r="T51" s="1325" t="s">
        <v>417</v>
      </c>
      <c r="U51" s="1324"/>
      <c r="V51" s="1324"/>
      <c r="W51" s="1324"/>
      <c r="X51" s="1324"/>
      <c r="Y51" s="1324"/>
      <c r="Z51" s="1324"/>
      <c r="AA51" s="1324"/>
      <c r="AB51" s="1324"/>
      <c r="AC51" s="1324"/>
      <c r="AD51" s="1324"/>
      <c r="AE51" s="1324"/>
      <c r="AF51" s="1324"/>
      <c r="AG51" s="1324"/>
      <c r="AH51" s="1324"/>
      <c r="AI51" s="1324"/>
      <c r="AJ51" s="1324"/>
      <c r="AK51" s="1324"/>
      <c r="AM51" s="789"/>
      <c r="AN51" s="789" t="str">
        <f>IF(T51="","",T51)</f>
        <v>Добавить централизованную систему для дифференциации</v>
      </c>
      <c r="AO51" s="789"/>
      <c r="AP51" s="789"/>
      <c r="AQ51" s="518">
        <v>0</v>
      </c>
    </row>
    <row s="1642" customFormat="1" customHeight="1" ht="0">
      <c r="A52" s="1343" t="s">
        <v>228</v>
      </c>
      <c r="B52" s="1343"/>
      <c r="C52" s="1343"/>
      <c r="D52" s="1343"/>
      <c r="E52" s="2258"/>
      <c r="F52" s="1343"/>
      <c r="G52" s="1343"/>
      <c r="H52" s="1343"/>
      <c r="I52" s="1343"/>
      <c r="J52" s="1343"/>
      <c r="K52" s="1343"/>
      <c r="L52" s="1346"/>
      <c r="M52" s="1321"/>
      <c r="N52" s="1321"/>
      <c r="O52" s="518"/>
      <c r="P52" s="380"/>
      <c r="Q52" s="1344"/>
      <c r="R52" s="380"/>
      <c r="S52" s="1322"/>
      <c r="T52" s="1325" t="s">
        <v>418</v>
      </c>
      <c r="U52" s="1324"/>
      <c r="V52" s="1324"/>
      <c r="W52" s="1324"/>
      <c r="X52" s="1324"/>
      <c r="Y52" s="1324"/>
      <c r="Z52" s="1324"/>
      <c r="AA52" s="1324"/>
      <c r="AB52" s="1324"/>
      <c r="AC52" s="1324"/>
      <c r="AD52" s="1324"/>
      <c r="AE52" s="1324"/>
      <c r="AF52" s="1324"/>
      <c r="AG52" s="1324"/>
      <c r="AH52" s="1324"/>
      <c r="AI52" s="1324"/>
      <c r="AJ52" s="1324"/>
      <c r="AK52" s="1324"/>
      <c r="AM52" s="500"/>
      <c r="AN52" s="500" t="str">
        <f>IF(T52="","",T52)</f>
        <v>Добавить территорию для дифференциации</v>
      </c>
      <c r="AO52" s="500"/>
      <c r="AP52" s="500"/>
      <c r="AQ52" s="511">
        <v>0</v>
      </c>
    </row>
    <row s="1642" customFormat="1" customHeight="1" ht="0">
      <c r="A53" s="1314"/>
      <c r="B53" s="1314"/>
      <c r="C53" s="1314"/>
      <c r="D53" s="1314"/>
      <c r="E53" s="1343"/>
      <c r="F53" s="1314"/>
      <c r="G53" s="1314"/>
      <c r="H53" s="1314"/>
      <c r="I53" s="1314"/>
      <c r="J53" s="1314"/>
      <c r="K53" s="1314"/>
      <c r="L53" s="1426"/>
      <c r="M53" s="1321"/>
      <c r="N53" s="1321"/>
      <c r="P53" s="1316"/>
      <c r="Q53" s="1317"/>
      <c r="R53" s="1316"/>
      <c r="S53" s="1322"/>
      <c r="T53" s="1325" t="s">
        <v>450</v>
      </c>
      <c r="U53" s="1324"/>
      <c r="V53" s="1324"/>
      <c r="W53" s="1324"/>
      <c r="X53" s="1324"/>
      <c r="Y53" s="1324"/>
      <c r="Z53" s="1324"/>
      <c r="AA53" s="1324"/>
      <c r="AB53" s="1324"/>
      <c r="AC53" s="1324"/>
      <c r="AD53" s="1324"/>
      <c r="AE53" s="1324"/>
      <c r="AF53" s="1324"/>
      <c r="AG53" s="1324"/>
      <c r="AH53" s="1324"/>
      <c r="AI53" s="1324"/>
      <c r="AJ53" s="1324"/>
      <c r="AK53" s="1324"/>
      <c r="AM53" s="789"/>
      <c r="AN53" s="789" t="str">
        <f>IF(T53="","",T53)</f>
        <v>Добавить наименование тарифа</v>
      </c>
      <c r="AO53" s="789"/>
      <c r="AP53" s="789"/>
      <c r="AQ53" s="518">
        <v>0</v>
      </c>
    </row>
    <row customHeight="1" ht="11.549999999999999">
      <c r="M54" s="1160"/>
      <c r="N54" s="1160"/>
      <c r="O54" s="537"/>
      <c r="P54" s="1155"/>
      <c r="Q54" s="1155"/>
      <c r="R54" s="1155"/>
      <c r="S54" s="1155"/>
      <c r="AL54" s="1155"/>
      <c r="AM54" s="1155"/>
      <c r="AN54" s="1155"/>
      <c r="AO54" s="1155"/>
      <c r="AP54" s="1155"/>
      <c r="AQ54" s="1155">
        <v>11</v>
      </c>
    </row>
    <row customHeight="1" ht="14.699999999999998">
      <c r="O55" s="537"/>
      <c r="S55" s="1253"/>
      <c r="T55" s="2285"/>
      <c r="U55" s="2285"/>
      <c r="V55" s="2285"/>
      <c r="W55" s="2285"/>
      <c r="X55" s="2285"/>
      <c r="Y55" s="2285"/>
      <c r="Z55" s="2285"/>
      <c r="AA55" s="2285"/>
      <c r="AB55" s="2285"/>
      <c r="AC55" s="2285"/>
      <c r="AD55" s="2285"/>
      <c r="AE55" s="2285"/>
      <c r="AF55" s="2285"/>
      <c r="AG55" s="2285"/>
      <c r="AH55" s="2285"/>
      <c r="AI55" s="2285"/>
      <c r="AJ55" s="2285"/>
      <c r="AK55" s="2285"/>
      <c r="AQ55" s="1155">
        <v>14</v>
      </c>
    </row>
    <row customHeight="1" ht="14.699999999999998">
      <c r="O56" s="537"/>
      <c r="AQ56" s="1155">
        <v>14</v>
      </c>
    </row>
    <row customHeight="1" ht="14.699999999999998">
      <c r="O57" s="537"/>
      <c r="S57" s="1253"/>
      <c r="T57" s="2285"/>
      <c r="U57" s="2285"/>
      <c r="V57" s="2285"/>
      <c r="W57" s="2285"/>
      <c r="X57" s="2285"/>
      <c r="Y57" s="2285"/>
      <c r="Z57" s="2285"/>
      <c r="AA57" s="2285"/>
      <c r="AB57" s="2285"/>
      <c r="AC57" s="2285"/>
      <c r="AD57" s="2285"/>
      <c r="AE57" s="2285"/>
      <c r="AF57" s="2285"/>
      <c r="AG57" s="2285"/>
      <c r="AH57" s="2285"/>
      <c r="AI57" s="2285"/>
      <c r="AJ57" s="2285"/>
      <c r="AK57" s="2285"/>
      <c r="AQ57" s="1155">
        <v>14</v>
      </c>
    </row>
    <row customHeight="1" ht="22.5" hidden="1">
      <c r="A58" s="1160" t="s">
        <v>82</v>
      </c>
      <c r="B58" s="1160">
        <v>0</v>
      </c>
      <c r="C58" s="1160">
        <v>0</v>
      </c>
      <c r="D58" s="1160">
        <v>0</v>
      </c>
      <c r="E58" s="1160">
        <v>0</v>
      </c>
      <c r="F58" s="1160">
        <v>0</v>
      </c>
      <c r="G58" s="1160">
        <v>0</v>
      </c>
      <c r="H58" s="1160">
        <v>0</v>
      </c>
      <c r="I58" s="1160">
        <v>0</v>
      </c>
      <c r="J58" s="1160">
        <v>0</v>
      </c>
      <c r="K58" s="1160">
        <v>0</v>
      </c>
      <c r="L58" s="1421">
        <v>0</v>
      </c>
      <c r="M58" s="1362">
        <v>0</v>
      </c>
      <c r="N58" s="1362">
        <v>0</v>
      </c>
      <c r="O58" s="1362">
        <v>0</v>
      </c>
      <c r="P58" s="1351">
        <v>3</v>
      </c>
      <c r="Q58" s="344">
        <v>3</v>
      </c>
      <c r="R58" s="344">
        <v>3</v>
      </c>
      <c r="S58" s="581">
        <v>12</v>
      </c>
      <c r="T58" s="1155">
        <v>35</v>
      </c>
      <c r="U58" s="1155">
        <v>0</v>
      </c>
      <c r="V58" s="1155">
        <v>0</v>
      </c>
      <c r="W58" s="1155">
        <v>0</v>
      </c>
      <c r="X58" s="1155">
        <v>0</v>
      </c>
      <c r="Y58" s="1155">
        <v>0</v>
      </c>
      <c r="Z58" s="1155">
        <v>0</v>
      </c>
      <c r="AA58" s="1155">
        <v>0</v>
      </c>
      <c r="AB58" s="1155">
        <v>0</v>
      </c>
      <c r="AC58" s="1155">
        <v>24</v>
      </c>
      <c r="AD58" s="1155">
        <v>24</v>
      </c>
      <c r="AE58" s="1155">
        <v>24</v>
      </c>
      <c r="AF58" s="1155">
        <v>11</v>
      </c>
      <c r="AG58" s="1155">
        <v>3</v>
      </c>
      <c r="AH58" s="1155">
        <v>11</v>
      </c>
      <c r="AI58" s="1155">
        <v>0</v>
      </c>
      <c r="AJ58" s="1155">
        <v>4</v>
      </c>
      <c r="AK58" s="1155">
        <v>115</v>
      </c>
      <c r="AL58" s="511">
        <v>10</v>
      </c>
      <c r="AM58" s="511">
        <v>10</v>
      </c>
      <c r="AN58" s="511">
        <v>10</v>
      </c>
      <c r="AO58" s="511">
        <v>10</v>
      </c>
      <c r="AP58" s="511">
        <v>10</v>
      </c>
      <c r="AQ58" s="1155">
        <v>23</v>
      </c>
    </row>
  </sheetData>
  <sheetProtection formatColumns="0" formatRows="0" autoFilter="0" sort="0" insertRows="0" insertColumns="1" deleteRows="0" deleteColumns="0"/>
  <mergeCells count="101">
    <mergeCell ref="E2:E13"/>
    <mergeCell ref="V2:AB2"/>
    <mergeCell ref="AC2:AJ2"/>
    <mergeCell ref="F3:F12"/>
    <mergeCell ref="V3:AB3"/>
    <mergeCell ref="AC3:AJ3"/>
    <mergeCell ref="G4:G11"/>
    <mergeCell ref="V4:AB4"/>
    <mergeCell ref="AC4:AJ4"/>
    <mergeCell ref="H5:H11"/>
    <mergeCell ref="AI7:AI8"/>
    <mergeCell ref="K7:K8"/>
    <mergeCell ref="Y7:Y8"/>
    <mergeCell ref="Z7:Z8"/>
    <mergeCell ref="AA7:AA8"/>
    <mergeCell ref="AB7:AB8"/>
    <mergeCell ref="I5:I10"/>
    <mergeCell ref="P5:P10"/>
    <mergeCell ref="V5:AB5"/>
    <mergeCell ref="AC5:AJ5"/>
    <mergeCell ref="J6:J9"/>
    <mergeCell ref="Q6:Q9"/>
    <mergeCell ref="V6:AB6"/>
    <mergeCell ref="AC6:AJ6"/>
    <mergeCell ref="AK7:AK8"/>
    <mergeCell ref="S24:AH24"/>
    <mergeCell ref="S25:AH25"/>
    <mergeCell ref="S27:T27"/>
    <mergeCell ref="V27:AA27"/>
    <mergeCell ref="AC27:AH27"/>
    <mergeCell ref="S28:T28"/>
    <mergeCell ref="V28:AA28"/>
    <mergeCell ref="AC28:AH28"/>
    <mergeCell ref="AG7:AG8"/>
    <mergeCell ref="AH7:AH8"/>
    <mergeCell ref="AF15:AF16"/>
    <mergeCell ref="AG15:AG16"/>
    <mergeCell ref="AH15:AH16"/>
    <mergeCell ref="AI15:AI16"/>
    <mergeCell ref="AF7:AF8"/>
    <mergeCell ref="AC29:AH29"/>
    <mergeCell ref="S30:T30"/>
    <mergeCell ref="V30:AA30"/>
    <mergeCell ref="AC30:AH30"/>
    <mergeCell ref="V35:AB35"/>
    <mergeCell ref="AC35:AI35"/>
    <mergeCell ref="S36:AJ36"/>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S29:T29"/>
    <mergeCell ref="V29:AA29"/>
    <mergeCell ref="AJ37:AJ39"/>
    <mergeCell ref="W38:X38"/>
    <mergeCell ref="E41:E52"/>
    <mergeCell ref="V41:AB41"/>
    <mergeCell ref="AC41:AJ41"/>
    <mergeCell ref="F42:F51"/>
    <mergeCell ref="V42:AB42"/>
    <mergeCell ref="AC42:AJ42"/>
    <mergeCell ref="G43:G50"/>
    <mergeCell ref="Y38:AA38"/>
    <mergeCell ref="AD38:AE38"/>
    <mergeCell ref="AF38:AH38"/>
    <mergeCell ref="Z39:AA39"/>
    <mergeCell ref="H44:H50"/>
    <mergeCell ref="I44:I49"/>
    <mergeCell ref="P44:P49"/>
    <mergeCell ref="V44:AB44"/>
    <mergeCell ref="AC44:AJ44"/>
    <mergeCell ref="J45:J48"/>
    <mergeCell ref="AG39:AH39"/>
    <mergeCell ref="Z40:AA40"/>
    <mergeCell ref="AG40:AH40"/>
    <mergeCell ref="K46:K47"/>
    <mergeCell ref="Y46:Y47"/>
    <mergeCell ref="V43:AB43"/>
    <mergeCell ref="AC43:AJ43"/>
    <mergeCell ref="T55:AK55"/>
    <mergeCell ref="T57:AK57"/>
    <mergeCell ref="Q45:Q48"/>
    <mergeCell ref="V45:AB45"/>
    <mergeCell ref="AC45:AJ45"/>
    <mergeCell ref="Z46:Z47"/>
    <mergeCell ref="AA46:AA47"/>
    <mergeCell ref="AB46:AB47"/>
    <mergeCell ref="AF46:AF47"/>
    <mergeCell ref="AG46:AG47"/>
    <mergeCell ref="AK46:AK47"/>
    <mergeCell ref="AH46:AH47"/>
    <mergeCell ref="AI46:AI47"/>
  </mergeCells>
  <dataValidations count="8">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AE47 AE8 X8 X47"/>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5:AJ5 AC44:AJ44">
      <formula1>900</formula1>
    </dataValidation>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AH7 AF7 Y7 AA7 Y46 AA4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524330 AI196650 AI589866 AI655402 AI15 AI720938 AI786474 AI852010 AI917546 AI983082 AI65578 AI131114 AI458794 AI262186 AI7 AG46 AI327722 AG15 AG7 Z7 AB7 AI393258 AI46 Z46 AB46"/>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2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A7BF752-C4F7-5EBF-D7D6-7F041C3A41B3}" mc:Ignorable="x14ac xr xr2 xr3">
  <sheetPr>
    <tabColor theme="6" tint="0.4"/>
  </sheetPr>
  <dimension ref="A1:AQ58"/>
  <sheetViews>
    <sheetView showGridLines="0" zoomScale="90" workbookViewId="0">
      <pane xSplit="28" ySplit="40" topLeftCell="AC41" activePane="bottomRight" state="frozen"/>
      <selection pane="bottomLeft" activeCell="A41" sqref="A41"/>
      <selection pane="topRight" activeCell="AC1" sqref="AC1"/>
      <selection pane="bottomRight" activeCell="A1" sqref="A1"/>
    </sheetView>
  </sheetViews>
  <sheetFormatPr defaultColWidth="10.57421875" customHeight="1" defaultRowHeight="14.25"/>
  <cols>
    <col min="1" max="1" style="1366" width="10.57421875" hidden="1"/>
    <col min="2" max="2" style="1366" width="11.00390625" hidden="1" customWidth="1"/>
    <col min="3" max="3" style="1366" width="10.57421875" hidden="1"/>
    <col min="4" max="4" style="1366" width="11.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4.140625" hidden="1" customWidth="1"/>
    <col min="10" max="10" style="1366" width="9.8515625" hidden="1" customWidth="1"/>
    <col min="11" max="11" style="1366" width="14.7109375" hidden="1" customWidth="1"/>
    <col min="12" max="12" style="2607" width="19.140625" hidden="1" customWidth="1"/>
    <col min="13" max="14" style="1776" width="12.28125" hidden="1" customWidth="1"/>
    <col min="15" max="15" style="1776" width="23.421875" hidden="1" customWidth="1"/>
    <col min="16" max="16" style="2397" width="3.00390625" customWidth="1"/>
    <col min="17" max="18" style="344" width="3.00390625" customWidth="1"/>
    <col min="19" max="19" style="2407" width="12.00390625" customWidth="1"/>
    <col min="20" max="20" style="1635" width="35.00390625" customWidth="1"/>
    <col min="21" max="21" style="1635" width="0.140625" customWidth="1"/>
    <col min="22" max="24" style="1635" width="24.7109375" hidden="1" customWidth="1"/>
    <col min="25" max="25" style="1635" width="11.7109375" hidden="1" customWidth="1"/>
    <col min="26" max="26" style="1635" width="3.7109375" hidden="1" customWidth="1"/>
    <col min="27" max="27" style="1635" width="11.7109375" hidden="1" customWidth="1"/>
    <col min="28" max="28" style="1635" width="8.57421875" hidden="1" customWidth="1"/>
    <col min="29" max="29" style="1635" width="24.7109375" customWidth="1"/>
    <col min="30" max="31" style="1635" width="24.00390625" customWidth="1"/>
    <col min="32" max="32" style="1635" width="11.00390625" customWidth="1"/>
    <col min="33" max="33" style="1635" width="3.7109375" customWidth="1"/>
    <col min="34" max="34" style="1635" width="11.00390625" customWidth="1"/>
    <col min="35" max="35" style="1635" width="8.57421875" hidden="1" customWidth="1"/>
    <col min="36" max="36" style="1635" width="4.00390625" customWidth="1"/>
    <col min="37" max="37" style="1635" width="115.00390625" customWidth="1"/>
    <col min="38" max="42" style="1642" width="10.00390625" customWidth="1"/>
    <col min="43" max="43" style="1635" width="10.57421875" hidden="1"/>
  </cols>
  <sheetData>
    <row customHeight="1" ht="22.5" hidden="1">
      <c r="X1" s="327"/>
      <c r="Y1" s="327"/>
      <c r="AE1" s="327"/>
      <c r="AF1" s="327"/>
      <c r="AQ1" s="1155" t="s">
        <v>14</v>
      </c>
    </row>
    <row customHeight="1" ht="23.25" hidden="1">
      <c r="A2" s="1363"/>
      <c r="B2" s="1363"/>
      <c r="C2" s="1363"/>
      <c r="D2" s="1363"/>
      <c r="E2" s="2258">
        <v>1</v>
      </c>
      <c r="F2" s="1363"/>
      <c r="G2" s="1363"/>
      <c r="H2" s="1363"/>
      <c r="I2" s="1363"/>
      <c r="J2" s="1363"/>
      <c r="K2" s="1363"/>
      <c r="L2" s="1364"/>
      <c r="M2" s="1365"/>
      <c r="N2" s="1365"/>
      <c r="O2" s="1365"/>
      <c r="P2" s="361"/>
      <c r="Q2" s="360"/>
      <c r="R2" s="355"/>
      <c r="S2" s="1457">
        <f>INDEX(PT_DIFFERENTIATION_NUM_NTAR,MATCH(A2,PT_DIFFERENTIATION_NTAR_ID,0))</f>
      </c>
      <c r="T2" s="298" t="s">
        <v>127</v>
      </c>
      <c r="U2" s="300"/>
      <c r="V2" s="2242"/>
      <c r="W2" s="2243"/>
      <c r="X2" s="2243"/>
      <c r="Y2" s="2243"/>
      <c r="Z2" s="2243"/>
      <c r="AA2" s="2243"/>
      <c r="AB2" s="2244"/>
      <c r="AC2" s="2242">
        <f>INDEX(PT_DIFFERENTIATION_NTAR,MATCH(A2,PT_DIFFERENTIATION_NTAR_ID,0))</f>
      </c>
      <c r="AD2" s="2243"/>
      <c r="AE2" s="2243"/>
      <c r="AF2" s="2243"/>
      <c r="AG2" s="2243"/>
      <c r="AH2" s="2243"/>
      <c r="AI2" s="2243"/>
      <c r="AJ2" s="2244"/>
      <c r="AK2"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00"/>
      <c r="AN2" s="500" t="str">
        <f>IF(T2="","",T2)</f>
        <v>Наименование тарифа</v>
      </c>
      <c r="AO2" s="500"/>
      <c r="AP2" s="500"/>
      <c r="AQ2" s="1155">
        <v>0</v>
      </c>
    </row>
    <row customHeight="1" ht="23.25" hidden="1">
      <c r="A3" s="1363"/>
      <c r="B3" s="1363"/>
      <c r="C3" s="1363"/>
      <c r="D3" s="1363"/>
      <c r="E3" s="2259"/>
      <c r="F3" s="2258">
        <v>1</v>
      </c>
      <c r="G3" s="1363"/>
      <c r="H3" s="1363"/>
      <c r="I3" s="1363"/>
      <c r="J3" s="1363"/>
      <c r="K3" s="1363"/>
      <c r="L3" s="1364"/>
      <c r="M3" s="1365"/>
      <c r="N3" s="1365"/>
      <c r="O3" s="1365"/>
      <c r="P3" s="1453"/>
      <c r="Q3" s="352"/>
      <c r="R3" s="353"/>
      <c r="S3" s="1457">
        <f>INDEX(PT_DIFFERENTIATION_NUM_TER,MATCH(B3,PT_DIFFERENTIATION_TER_ID,0))</f>
      </c>
      <c r="T3" s="308" t="s">
        <v>399</v>
      </c>
      <c r="U3" s="300"/>
      <c r="V3" s="2242"/>
      <c r="W3" s="2243"/>
      <c r="X3" s="2243"/>
      <c r="Y3" s="2243"/>
      <c r="Z3" s="2243"/>
      <c r="AA3" s="2243"/>
      <c r="AB3" s="2244"/>
      <c r="AC3" s="2242">
        <f>INDEX(PT_DIFFERENTIATION_TER,MATCH(B3,PT_DIFFERENTIATION_TER_ID,0))</f>
      </c>
      <c r="AD3" s="2243"/>
      <c r="AE3" s="2243"/>
      <c r="AF3" s="2243"/>
      <c r="AG3" s="2243"/>
      <c r="AH3" s="2243"/>
      <c r="AI3" s="2243"/>
      <c r="AJ3" s="2244"/>
      <c r="AK3" s="1258" t="s">
        <v>400</v>
      </c>
      <c r="AM3" s="500"/>
      <c r="AN3" s="500" t="str">
        <f>IF(T3="","",T3)</f>
        <v>Территория действия тарифа</v>
      </c>
      <c r="AO3" s="500"/>
      <c r="AP3" s="500"/>
      <c r="AQ3" s="1155">
        <v>0</v>
      </c>
    </row>
    <row customHeight="1" ht="23.25" hidden="1">
      <c r="A4" s="1363"/>
      <c r="B4" s="1363"/>
      <c r="C4" s="1363"/>
      <c r="D4" s="1363"/>
      <c r="E4" s="2259"/>
      <c r="F4" s="2259"/>
      <c r="G4" s="2258">
        <v>1</v>
      </c>
      <c r="H4" s="1363"/>
      <c r="I4" s="1363"/>
      <c r="J4" s="1363"/>
      <c r="K4" s="1363"/>
      <c r="L4" s="1364"/>
      <c r="M4" s="1365"/>
      <c r="N4" s="1365"/>
      <c r="O4" s="1365"/>
      <c r="P4" s="354"/>
      <c r="Q4" s="352"/>
      <c r="R4" s="353"/>
      <c r="S4" s="1457">
        <f>INDEX(PT_DIFFERENTIATION_NUM_CS,MATCH(C4,PT_DIFFERENTIATION_CS_ID,0))</f>
      </c>
      <c r="T4" s="309" t="s">
        <v>483</v>
      </c>
      <c r="U4" s="300"/>
      <c r="V4" s="2242"/>
      <c r="W4" s="2243"/>
      <c r="X4" s="2243"/>
      <c r="Y4" s="2243"/>
      <c r="Z4" s="2243"/>
      <c r="AA4" s="2243"/>
      <c r="AB4" s="2244"/>
      <c r="AC4" s="2242">
        <f>INDEX(PT_DIFFERENTIATION_CS,MATCH(C4,PT_DIFFERENTIATION_CS_ID,0))</f>
      </c>
      <c r="AD4" s="2243"/>
      <c r="AE4" s="2243"/>
      <c r="AF4" s="2243"/>
      <c r="AG4" s="2243"/>
      <c r="AH4" s="2243"/>
      <c r="AI4" s="2243"/>
      <c r="AJ4" s="2244"/>
      <c r="AK4" s="1258" t="s">
        <v>484</v>
      </c>
      <c r="AM4" s="500"/>
      <c r="AN4" s="500" t="str">
        <f>IF(T4="","",T4)</f>
        <v>Наименование централизованной системы холодного водоснабжения</v>
      </c>
      <c r="AO4" s="500"/>
      <c r="AP4" s="500"/>
      <c r="AQ4" s="1155">
        <v>0</v>
      </c>
    </row>
    <row customHeight="1" ht="23.25" hidden="1">
      <c r="A5" s="1363"/>
      <c r="B5" s="1363"/>
      <c r="C5" s="1363"/>
      <c r="D5" s="1363"/>
      <c r="E5" s="2259"/>
      <c r="F5" s="2259"/>
      <c r="G5" s="2259"/>
      <c r="H5" s="2259"/>
      <c r="I5" s="2256">
        <f>S4&amp;".1"</f>
      </c>
      <c r="J5" s="1363"/>
      <c r="K5" s="1363"/>
      <c r="L5" s="1364"/>
      <c r="P5" s="2257">
        <v>1</v>
      </c>
      <c r="Q5" s="1450"/>
      <c r="R5" s="356"/>
      <c r="S5" s="1457">
        <f>$I5</f>
      </c>
      <c r="T5" s="285" t="s">
        <v>485</v>
      </c>
      <c r="U5" s="300"/>
      <c r="V5" s="2350"/>
      <c r="W5" s="2351"/>
      <c r="X5" s="2351"/>
      <c r="Y5" s="2351"/>
      <c r="Z5" s="2351"/>
      <c r="AA5" s="2351"/>
      <c r="AB5" s="2352"/>
      <c r="AC5" s="2353"/>
      <c r="AD5" s="2354"/>
      <c r="AE5" s="2354"/>
      <c r="AF5" s="2354"/>
      <c r="AG5" s="2354"/>
      <c r="AH5" s="2354"/>
      <c r="AI5" s="2354"/>
      <c r="AJ5" s="2355"/>
      <c r="AK5" s="1258" t="s">
        <v>486</v>
      </c>
      <c r="AM5" s="500"/>
      <c r="AN5" s="500" t="str">
        <f>IF(T5="","",T5)</f>
        <v>Наименование признака дифференциации</v>
      </c>
      <c r="AO5" s="500"/>
      <c r="AP5" s="500"/>
      <c r="AQ5" s="1155">
        <v>0</v>
      </c>
    </row>
    <row customHeight="1" ht="23.25" hidden="1">
      <c r="A6" s="1363"/>
      <c r="B6" s="1363"/>
      <c r="C6" s="1363"/>
      <c r="D6" s="1363"/>
      <c r="E6" s="2259"/>
      <c r="F6" s="2259"/>
      <c r="G6" s="2259"/>
      <c r="H6" s="2259"/>
      <c r="I6" s="2286"/>
      <c r="J6" s="2256">
        <f>I5&amp;".1"</f>
      </c>
      <c r="K6" s="1363"/>
      <c r="L6" s="1364" t="s">
        <v>408</v>
      </c>
      <c r="P6" s="2257"/>
      <c r="Q6" s="2257">
        <v>1</v>
      </c>
      <c r="R6" s="357"/>
      <c r="S6" s="1457">
        <f>$J6</f>
      </c>
      <c r="T6" s="286" t="s">
        <v>409</v>
      </c>
      <c r="U6" s="300"/>
      <c r="V6" s="2245"/>
      <c r="W6" s="2246"/>
      <c r="X6" s="2246"/>
      <c r="Y6" s="2246"/>
      <c r="Z6" s="2246"/>
      <c r="AA6" s="2246"/>
      <c r="AB6" s="2247"/>
      <c r="AC6" s="2245"/>
      <c r="AD6" s="2246"/>
      <c r="AE6" s="2246"/>
      <c r="AF6" s="2246"/>
      <c r="AG6" s="2246"/>
      <c r="AH6" s="2246"/>
      <c r="AI6" s="2246"/>
      <c r="AJ6" s="2247"/>
      <c r="AK6" s="1307" t="s">
        <v>487</v>
      </c>
      <c r="AM6" s="500"/>
      <c r="AN6" s="500" t="str">
        <f>IF(T6="","",T6)</f>
        <v>Группа потребителей</v>
      </c>
      <c r="AO6" s="500"/>
      <c r="AP6" s="500"/>
      <c r="AQ6" s="1155">
        <v>0</v>
      </c>
    </row>
    <row customHeight="1" ht="23.25" hidden="1">
      <c r="A7" s="1363"/>
      <c r="B7" s="1363"/>
      <c r="C7" s="1363"/>
      <c r="D7" s="1363"/>
      <c r="E7" s="2259"/>
      <c r="F7" s="2259"/>
      <c r="G7" s="2259"/>
      <c r="H7" s="2259"/>
      <c r="I7" s="2286"/>
      <c r="J7" s="2286"/>
      <c r="K7" s="2256">
        <f>J6&amp;".1"</f>
      </c>
      <c r="L7" s="1364"/>
      <c r="P7" s="2257"/>
      <c r="Q7" s="2257"/>
      <c r="R7" s="357">
        <v>1</v>
      </c>
      <c r="S7" s="1457">
        <f>$K7</f>
      </c>
      <c r="T7" s="1437"/>
      <c r="U7" s="300"/>
      <c r="V7" s="751"/>
      <c r="W7" s="751"/>
      <c r="X7" s="1257"/>
      <c r="Y7" s="2265"/>
      <c r="Z7" s="2107" t="s">
        <v>66</v>
      </c>
      <c r="AA7" s="2265"/>
      <c r="AB7" s="2107" t="s">
        <v>66</v>
      </c>
      <c r="AC7" s="751"/>
      <c r="AD7" s="751"/>
      <c r="AE7" s="1257"/>
      <c r="AF7" s="2265"/>
      <c r="AG7" s="2107" t="s">
        <v>66</v>
      </c>
      <c r="AH7" s="2287"/>
      <c r="AI7" s="2107" t="s">
        <v>66</v>
      </c>
      <c r="AJ7" s="1438"/>
      <c r="AK7" s="234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1">
        <f>STRCHECKDATE(V8:AJ8)</f>
      </c>
      <c r="AM7" s="500"/>
      <c r="AN7" s="500" t="str">
        <f>IF(T7="","",T7)</f>
        <v/>
      </c>
      <c r="AO7" s="500"/>
      <c r="AP7" s="500"/>
      <c r="AQ7" s="1155">
        <v>0</v>
      </c>
    </row>
    <row customHeight="1" ht="14.25" hidden="1">
      <c r="A8" s="1363"/>
      <c r="B8" s="1363"/>
      <c r="C8" s="1363"/>
      <c r="D8" s="1363"/>
      <c r="E8" s="2259"/>
      <c r="F8" s="2259"/>
      <c r="G8" s="2259"/>
      <c r="H8" s="2259"/>
      <c r="I8" s="2286"/>
      <c r="J8" s="2286"/>
      <c r="K8" s="2256"/>
      <c r="L8" s="1364"/>
      <c r="P8" s="2257"/>
      <c r="Q8" s="2257"/>
      <c r="R8" s="357"/>
      <c r="S8" s="1456"/>
      <c r="T8" s="300"/>
      <c r="U8" s="300"/>
      <c r="V8" s="325"/>
      <c r="W8" s="325"/>
      <c r="X8" s="328" t="str">
        <f>Y7&amp;"-"&amp;AA7</f>
        <v>-</v>
      </c>
      <c r="Y8" s="2266"/>
      <c r="Z8" s="2107"/>
      <c r="AA8" s="2266"/>
      <c r="AB8" s="2107"/>
      <c r="AC8" s="325"/>
      <c r="AD8" s="325"/>
      <c r="AE8" s="328" t="str">
        <f>AF7&amp;"-"&amp;AH7</f>
        <v>-</v>
      </c>
      <c r="AF8" s="2266"/>
      <c r="AG8" s="2107"/>
      <c r="AH8" s="2288"/>
      <c r="AI8" s="2107"/>
      <c r="AJ8" s="1439"/>
      <c r="AK8" s="2349"/>
      <c r="AM8" s="500"/>
      <c r="AN8" s="500" t="str">
        <f>IF(T8="","",T8)</f>
        <v/>
      </c>
      <c r="AO8" s="500"/>
      <c r="AP8" s="500"/>
      <c r="AQ8" s="1155">
        <v>0</v>
      </c>
    </row>
    <row customHeight="1" ht="21" hidden="1">
      <c r="A9" s="1363"/>
      <c r="B9" s="1363"/>
      <c r="C9" s="1363"/>
      <c r="D9" s="1363"/>
      <c r="E9" s="2259"/>
      <c r="F9" s="2259"/>
      <c r="G9" s="2259"/>
      <c r="H9" s="2259"/>
      <c r="I9" s="2286"/>
      <c r="J9" s="2256"/>
      <c r="K9" s="1363"/>
      <c r="L9" s="1364"/>
      <c r="P9" s="2257"/>
      <c r="Q9" s="2257"/>
      <c r="R9" s="356"/>
      <c r="S9" s="1278"/>
      <c r="T9" s="287" t="s">
        <v>488</v>
      </c>
      <c r="U9" s="367"/>
      <c r="V9" s="367"/>
      <c r="W9" s="367"/>
      <c r="X9" s="367"/>
      <c r="Y9" s="367"/>
      <c r="Z9" s="367"/>
      <c r="AA9" s="367"/>
      <c r="AB9" s="367"/>
      <c r="AC9" s="367"/>
      <c r="AD9" s="367"/>
      <c r="AE9" s="367"/>
      <c r="AF9" s="367"/>
      <c r="AG9" s="367"/>
      <c r="AH9" s="367"/>
      <c r="AI9" s="367"/>
      <c r="AJ9" s="367"/>
      <c r="AK9" s="1258" t="s">
        <v>489</v>
      </c>
      <c r="AM9" s="500"/>
      <c r="AN9" s="500" t="str">
        <f>IF(T9="","",T9)</f>
        <v>Добавить значение признака дифференциации</v>
      </c>
      <c r="AO9" s="500"/>
      <c r="AP9" s="500"/>
      <c r="AQ9" s="1155">
        <v>0</v>
      </c>
    </row>
    <row customHeight="1" ht="21" hidden="1">
      <c r="A10" s="1363"/>
      <c r="B10" s="1363"/>
      <c r="C10" s="1363"/>
      <c r="D10" s="1363"/>
      <c r="E10" s="2259"/>
      <c r="F10" s="2259"/>
      <c r="G10" s="2259"/>
      <c r="H10" s="2259"/>
      <c r="I10" s="2256"/>
      <c r="J10" s="1363"/>
      <c r="K10" s="1363"/>
      <c r="L10" s="1364"/>
      <c r="P10" s="2257"/>
      <c r="Q10" s="1450"/>
      <c r="R10" s="356"/>
      <c r="S10" s="1278"/>
      <c r="T10" s="365" t="s">
        <v>414</v>
      </c>
      <c r="U10" s="367"/>
      <c r="V10" s="367"/>
      <c r="W10" s="367"/>
      <c r="X10" s="367"/>
      <c r="Y10" s="367"/>
      <c r="Z10" s="367"/>
      <c r="AA10" s="367"/>
      <c r="AB10" s="366"/>
      <c r="AC10" s="367"/>
      <c r="AD10" s="367"/>
      <c r="AE10" s="367"/>
      <c r="AF10" s="367"/>
      <c r="AG10" s="367"/>
      <c r="AH10" s="367"/>
      <c r="AI10" s="366"/>
      <c r="AJ10" s="367"/>
      <c r="AK10" s="1440"/>
      <c r="AM10" s="500"/>
      <c r="AN10" s="500" t="str">
        <f>IF(T10="","",T10)</f>
        <v>Добавить группу потребителей</v>
      </c>
      <c r="AO10" s="500"/>
      <c r="AP10" s="500"/>
      <c r="AQ10" s="1155">
        <v>0</v>
      </c>
    </row>
    <row customHeight="1" ht="21" hidden="1">
      <c r="A11" s="1363"/>
      <c r="B11" s="1363"/>
      <c r="C11" s="1363"/>
      <c r="D11" s="1363"/>
      <c r="E11" s="2259"/>
      <c r="F11" s="2259"/>
      <c r="G11" s="2259"/>
      <c r="H11" s="2258"/>
      <c r="I11" s="1363"/>
      <c r="J11" s="1363"/>
      <c r="K11" s="1363"/>
      <c r="L11" s="1364"/>
      <c r="M11" s="1365"/>
      <c r="N11" s="1365"/>
      <c r="O11" s="537"/>
      <c r="P11" s="360"/>
      <c r="Q11" s="375"/>
      <c r="R11" s="355"/>
      <c r="S11" s="1278"/>
      <c r="T11" s="372" t="s">
        <v>490</v>
      </c>
      <c r="U11" s="367"/>
      <c r="V11" s="367"/>
      <c r="W11" s="367"/>
      <c r="X11" s="367"/>
      <c r="Y11" s="367"/>
      <c r="Z11" s="367"/>
      <c r="AA11" s="367"/>
      <c r="AB11" s="366"/>
      <c r="AC11" s="367"/>
      <c r="AD11" s="367"/>
      <c r="AE11" s="367"/>
      <c r="AF11" s="367"/>
      <c r="AG11" s="367"/>
      <c r="AH11" s="367"/>
      <c r="AI11" s="366"/>
      <c r="AJ11" s="367"/>
      <c r="AK11" s="303"/>
      <c r="AM11" s="500"/>
      <c r="AN11" s="500" t="str">
        <f>IF(T11="","",T11)</f>
        <v>Добавить наименование признака дифференциации</v>
      </c>
      <c r="AO11" s="500"/>
      <c r="AP11" s="500"/>
      <c r="AQ11" s="1155">
        <v>0</v>
      </c>
    </row>
    <row s="1642" customFormat="1" customHeight="1" ht="14.25" hidden="1">
      <c r="A12" s="1343"/>
      <c r="B12" s="1343"/>
      <c r="C12" s="1314"/>
      <c r="D12" s="1314"/>
      <c r="E12" s="2259"/>
      <c r="F12" s="2258"/>
      <c r="G12" s="1314"/>
      <c r="H12" s="1314"/>
      <c r="I12" s="1314"/>
      <c r="J12" s="1314"/>
      <c r="K12" s="1314"/>
      <c r="L12" s="1458"/>
      <c r="M12" s="1321"/>
      <c r="N12" s="1321"/>
      <c r="P12" s="1316"/>
      <c r="Q12" s="1317"/>
      <c r="R12" s="1316"/>
      <c r="S12" s="1322"/>
      <c r="T12" s="1325" t="s">
        <v>417</v>
      </c>
      <c r="U12" s="1324"/>
      <c r="V12" s="1324"/>
      <c r="W12" s="1324"/>
      <c r="X12" s="1324"/>
      <c r="Y12" s="1324"/>
      <c r="Z12" s="1324"/>
      <c r="AA12" s="1324"/>
      <c r="AB12" s="1324"/>
      <c r="AC12" s="1324"/>
      <c r="AD12" s="1324"/>
      <c r="AE12" s="1324"/>
      <c r="AF12" s="1324"/>
      <c r="AG12" s="1324"/>
      <c r="AH12" s="1324"/>
      <c r="AI12" s="1324"/>
      <c r="AJ12" s="1324"/>
      <c r="AK12" s="1324"/>
      <c r="AM12" s="789"/>
      <c r="AN12" s="789" t="str">
        <f>IF(T12="","",T12)</f>
        <v>Добавить централизованную систему для дифференциации</v>
      </c>
      <c r="AO12" s="789"/>
      <c r="AP12" s="789"/>
      <c r="AQ12" s="518">
        <v>0</v>
      </c>
    </row>
    <row s="1642" customFormat="1" customHeight="1" ht="14.25" hidden="1">
      <c r="A13" s="1343"/>
      <c r="B13" s="1343"/>
      <c r="C13" s="1343"/>
      <c r="D13" s="1343"/>
      <c r="E13" s="2258"/>
      <c r="F13" s="1343"/>
      <c r="G13" s="1343"/>
      <c r="H13" s="1343"/>
      <c r="I13" s="1343"/>
      <c r="J13" s="1343"/>
      <c r="K13" s="1343"/>
      <c r="L13" s="1346"/>
      <c r="M13" s="1321"/>
      <c r="N13" s="1321"/>
      <c r="O13" s="518"/>
      <c r="P13" s="380"/>
      <c r="Q13" s="1344"/>
      <c r="R13" s="380"/>
      <c r="S13" s="1322"/>
      <c r="T13" s="1325" t="s">
        <v>418</v>
      </c>
      <c r="U13" s="1324"/>
      <c r="V13" s="1324"/>
      <c r="W13" s="1324"/>
      <c r="X13" s="1324"/>
      <c r="Y13" s="1324"/>
      <c r="Z13" s="1324"/>
      <c r="AA13" s="1324"/>
      <c r="AB13" s="1324"/>
      <c r="AC13" s="1324"/>
      <c r="AD13" s="1324"/>
      <c r="AE13" s="1324"/>
      <c r="AF13" s="1324"/>
      <c r="AG13" s="1324"/>
      <c r="AH13" s="1324"/>
      <c r="AI13" s="1324"/>
      <c r="AJ13" s="1324"/>
      <c r="AK13" s="1324"/>
      <c r="AM13" s="500"/>
      <c r="AN13" s="500" t="str">
        <f>IF(T13="","",T13)</f>
        <v>Добавить территорию для дифференциации</v>
      </c>
      <c r="AO13" s="500"/>
      <c r="AP13" s="500"/>
      <c r="AQ13" s="511">
        <v>0</v>
      </c>
    </row>
    <row customHeight="1" ht="14.25" hidden="1">
      <c r="AB14" s="327"/>
      <c r="AI14" s="327"/>
      <c r="AQ14" s="1155">
        <v>0</v>
      </c>
    </row>
    <row customHeight="1" ht="14.25" hidden="1">
      <c r="AC15" s="1360"/>
      <c r="AD15" s="1360"/>
      <c r="AE15" s="1361"/>
      <c r="AF15" s="2267"/>
      <c r="AG15" s="2268" t="s">
        <v>66</v>
      </c>
      <c r="AH15" s="2267"/>
      <c r="AI15" s="2268" t="s">
        <v>66</v>
      </c>
      <c r="AQ15" s="1155">
        <v>0</v>
      </c>
    </row>
    <row customHeight="1" ht="14.25" hidden="1">
      <c r="AC16" s="1360"/>
      <c r="AD16" s="1360"/>
      <c r="AE16" s="328" t="str">
        <f>AF15&amp;"-"&amp;AH15</f>
        <v>-</v>
      </c>
      <c r="AF16" s="2268"/>
      <c r="AG16" s="2268"/>
      <c r="AH16" s="2268"/>
      <c r="AI16" s="2268"/>
      <c r="AQ16" s="1155">
        <v>0</v>
      </c>
    </row>
    <row customHeight="1" ht="14.25" hidden="1">
      <c r="AI17" s="327"/>
      <c r="AQ17" s="1155">
        <v>0</v>
      </c>
    </row>
    <row s="1366" customFormat="1" customHeight="1" ht="22.5" hidden="1">
      <c r="L18" s="1447"/>
      <c r="M18" s="1362"/>
      <c r="N18" s="1362"/>
      <c r="O18" s="1367" t="s">
        <v>419</v>
      </c>
      <c r="P18" s="1362"/>
      <c r="Q18" s="1371"/>
      <c r="R18" s="1371"/>
      <c r="S18" s="729"/>
      <c r="Y18" s="1367"/>
      <c r="AA18" s="1367"/>
      <c r="AB18" s="1366"/>
      <c r="AF18" s="1367"/>
      <c r="AH18" s="1367"/>
      <c r="AI18" s="1366"/>
      <c r="AL18" s="511"/>
      <c r="AM18" s="511"/>
      <c r="AN18" s="511"/>
      <c r="AO18" s="511"/>
      <c r="AP18" s="511"/>
      <c r="AQ18" s="1160">
        <v>0</v>
      </c>
    </row>
    <row s="1366" customFormat="1" customHeight="1" ht="14.25" hidden="1">
      <c r="L19" s="1447"/>
      <c r="M19" s="1362"/>
      <c r="N19" s="1362"/>
      <c r="O19" s="1362"/>
      <c r="P19" s="1362"/>
      <c r="Q19" s="1371"/>
      <c r="R19" s="1371"/>
      <c r="S19" s="729"/>
      <c r="AB19" s="1366"/>
      <c r="AI19" s="1366"/>
      <c r="AL19" s="511"/>
      <c r="AM19" s="511"/>
      <c r="AN19" s="511"/>
      <c r="AO19" s="511"/>
      <c r="AP19" s="511"/>
      <c r="AQ19" s="1160">
        <v>0</v>
      </c>
    </row>
    <row s="1366" customFormat="1" customHeight="1" ht="12" hidden="1">
      <c r="L20" s="1447"/>
      <c r="M20" s="1362"/>
      <c r="N20" s="1362"/>
      <c r="O20" s="1364" t="s">
        <v>420</v>
      </c>
      <c r="P20" s="1362"/>
      <c r="Q20" s="1442"/>
      <c r="R20" s="1442"/>
      <c r="S20" s="729"/>
      <c r="T20" s="1160" t="s">
        <v>421</v>
      </c>
      <c r="Z20" s="186" t="s">
        <v>422</v>
      </c>
      <c r="AB20" s="186" t="s">
        <v>423</v>
      </c>
      <c r="AC20" s="1160" t="s">
        <v>421</v>
      </c>
      <c r="AG20" s="186" t="s">
        <v>424</v>
      </c>
      <c r="AI20" s="186" t="s">
        <v>423</v>
      </c>
      <c r="AQ20" s="1160">
        <v>0</v>
      </c>
    </row>
    <row customHeight="1" ht="14.25" hidden="1">
      <c r="O21" s="1364"/>
      <c r="AQ21" s="1155">
        <v>0</v>
      </c>
    </row>
    <row customHeight="1" ht="14.25" hidden="1">
      <c r="O22" s="1364"/>
      <c r="AQ22" s="1155">
        <v>0</v>
      </c>
    </row>
    <row customHeight="1" ht="14.699999999999998">
      <c r="Q23" s="376"/>
      <c r="R23" s="376"/>
      <c r="S23" s="1275"/>
      <c r="T23" s="363"/>
      <c r="U23" s="363"/>
      <c r="V23" s="509"/>
      <c r="W23" s="509"/>
      <c r="X23" s="509"/>
      <c r="Y23" s="509"/>
      <c r="Z23" s="509"/>
      <c r="AA23" s="509"/>
      <c r="AB23" s="509"/>
      <c r="AC23" s="509"/>
      <c r="AD23" s="509"/>
      <c r="AE23" s="509"/>
      <c r="AF23" s="509"/>
      <c r="AG23" s="509"/>
      <c r="AH23" s="509"/>
      <c r="AI23" s="509"/>
      <c r="AQ23" s="1155">
        <v>14</v>
      </c>
    </row>
    <row customHeight="1" ht="14.699999999999998">
      <c r="Q24" s="376"/>
      <c r="R24" s="376"/>
      <c r="S24" s="2248" t="str">
        <f>IF(TEMPLATE_GROUP="P",PT_P_FORM_COLDVSNA_4_NAME_FORM,PT_R_FORM_COLDVSNA_16_NAME_FORM)</f>
        <v>Форма 13. Информация о предложении организации холодного водоснабжения об установлении расчетной величины тарифов в сфере холодного водоснабжения</v>
      </c>
      <c r="T24" s="2248"/>
      <c r="U24" s="2248"/>
      <c r="V24" s="2248"/>
      <c r="W24" s="2248"/>
      <c r="X24" s="2248"/>
      <c r="Y24" s="2248"/>
      <c r="Z24" s="2248"/>
      <c r="AA24" s="2248"/>
      <c r="AB24" s="2248"/>
      <c r="AC24" s="2248"/>
      <c r="AD24" s="2248"/>
      <c r="AE24" s="2248"/>
      <c r="AF24" s="2248"/>
      <c r="AG24" s="2248"/>
      <c r="AH24" s="2248"/>
      <c r="AI24" s="1243"/>
      <c r="AQ24" s="1155">
        <v>14</v>
      </c>
    </row>
    <row customHeight="1" ht="14.699999999999998">
      <c r="Q25" s="376"/>
      <c r="R25" s="376"/>
      <c r="S25" s="2249" t="str">
        <f>IF(org=0,"Не определено",org)</f>
        <v>ПАО "ОГК-2"</v>
      </c>
      <c r="T25" s="2249"/>
      <c r="U25" s="2249"/>
      <c r="V25" s="2249"/>
      <c r="W25" s="2249"/>
      <c r="X25" s="2249"/>
      <c r="Y25" s="2249"/>
      <c r="Z25" s="2249"/>
      <c r="AA25" s="2249"/>
      <c r="AB25" s="2249"/>
      <c r="AC25" s="2249"/>
      <c r="AD25" s="2249"/>
      <c r="AE25" s="2249"/>
      <c r="AF25" s="2249"/>
      <c r="AG25" s="2249"/>
      <c r="AH25" s="2249"/>
      <c r="AI25" s="1243"/>
      <c r="AQ25" s="1155">
        <v>14</v>
      </c>
    </row>
    <row customHeight="1" ht="14.25" hidden="1">
      <c r="Q26" s="376"/>
      <c r="R26" s="376"/>
      <c r="S26" s="1275"/>
      <c r="T26" s="363"/>
      <c r="U26" s="363"/>
      <c r="V26" s="322"/>
      <c r="W26" s="322"/>
      <c r="X26" s="322"/>
      <c r="Y26" s="322"/>
      <c r="Z26" s="322"/>
      <c r="AA26" s="322"/>
      <c r="AB26" s="322"/>
      <c r="AC26" s="322"/>
      <c r="AD26" s="322"/>
      <c r="AE26" s="322"/>
      <c r="AF26" s="322"/>
      <c r="AG26" s="322"/>
      <c r="AH26" s="322"/>
      <c r="AI26" s="322"/>
      <c r="AJ26" s="509"/>
      <c r="AQ26" s="1155">
        <v>0</v>
      </c>
    </row>
    <row s="1853" customFormat="1" customHeight="1" ht="25.5" hidden="1">
      <c r="A27" s="1368"/>
      <c r="B27" s="1368"/>
      <c r="C27" s="1368"/>
      <c r="D27" s="1368"/>
      <c r="E27" s="1368"/>
      <c r="F27" s="1368"/>
      <c r="G27" s="1368"/>
      <c r="H27" s="1368"/>
      <c r="I27" s="1368"/>
      <c r="J27" s="1368"/>
      <c r="K27" s="1368"/>
      <c r="L27" s="1369"/>
      <c r="M27" s="1368"/>
      <c r="N27" s="1368"/>
      <c r="O27" s="1368"/>
      <c r="S27" s="2250" t="s">
        <v>42</v>
      </c>
      <c r="T27" s="2250"/>
      <c r="U27" s="1372"/>
      <c r="V27" s="2251" t="str">
        <f>IF(TITLE_NAME_OR_PR_CHANGE="",IF(TITLE_NAME_OR_PR="","",TITLE_NAME_OR_PR),TITLE_NAME_OR_PR_CHANGE)</f>
        <v/>
      </c>
      <c r="W27" s="2251"/>
      <c r="X27" s="2251"/>
      <c r="Y27" s="2251"/>
      <c r="Z27" s="2251"/>
      <c r="AA27" s="2251"/>
      <c r="AB27" s="326"/>
      <c r="AC27" s="2251" t="str">
        <f>IF(TITLE_NAME_OR_PR_CHANGE="",IF(TITLE_NAME_OR_PR="","",TITLE_NAME_OR_PR),TITLE_NAME_OR_PR_CHANGE)</f>
        <v/>
      </c>
      <c r="AD27" s="2251"/>
      <c r="AE27" s="2251"/>
      <c r="AF27" s="2251"/>
      <c r="AG27" s="2251"/>
      <c r="AH27" s="2251"/>
      <c r="AI27" s="326"/>
      <c r="AJ27" s="326"/>
      <c r="AK27" s="280"/>
      <c r="AL27" s="368"/>
      <c r="AM27" s="368"/>
      <c r="AN27" s="368"/>
      <c r="AO27" s="368"/>
      <c r="AP27" s="368"/>
      <c r="AQ27" s="418">
        <v>0</v>
      </c>
    </row>
    <row s="1853" customFormat="1" customHeight="1" ht="18.75" hidden="1">
      <c r="A28" s="1368"/>
      <c r="B28" s="1368"/>
      <c r="C28" s="1368"/>
      <c r="D28" s="1368"/>
      <c r="E28" s="1368"/>
      <c r="F28" s="1368"/>
      <c r="G28" s="1368"/>
      <c r="H28" s="1368"/>
      <c r="I28" s="1368"/>
      <c r="J28" s="1368"/>
      <c r="K28" s="1368"/>
      <c r="L28" s="1369"/>
      <c r="M28" s="1368"/>
      <c r="N28" s="1368"/>
      <c r="O28" s="1368"/>
      <c r="S28" s="2250" t="s">
        <v>425</v>
      </c>
      <c r="T28" s="2250"/>
      <c r="U28" s="1372"/>
      <c r="V28" s="2264" t="str">
        <f>IF(TITLE_DATE_PR_CHANGE="",IF(TITLE_DATE_PR="","",TITLE_DATE_PR),TITLE_DATE_PR_CHANGE)</f>
        <v/>
      </c>
      <c r="W28" s="2264"/>
      <c r="X28" s="2264"/>
      <c r="Y28" s="2264"/>
      <c r="Z28" s="2264"/>
      <c r="AA28" s="2264"/>
      <c r="AB28" s="326"/>
      <c r="AC28" s="2264" t="str">
        <f>IF(TITLE_DATE_PR_CHANGE="",IF(TITLE_DATE_PR="","",TITLE_DATE_PR),TITLE_DATE_PR_CHANGE)</f>
        <v/>
      </c>
      <c r="AD28" s="2264"/>
      <c r="AE28" s="2264"/>
      <c r="AF28" s="2264"/>
      <c r="AG28" s="2264"/>
      <c r="AH28" s="2264"/>
      <c r="AI28" s="326"/>
      <c r="AJ28" s="326"/>
      <c r="AK28" s="280"/>
      <c r="AL28" s="368"/>
      <c r="AM28" s="368"/>
      <c r="AN28" s="368"/>
      <c r="AO28" s="368"/>
      <c r="AP28" s="368"/>
      <c r="AQ28" s="418">
        <v>0</v>
      </c>
    </row>
    <row s="1853" customFormat="1" customHeight="1" ht="18.75" hidden="1">
      <c r="A29" s="1368"/>
      <c r="B29" s="1368"/>
      <c r="C29" s="1368"/>
      <c r="D29" s="1368"/>
      <c r="E29" s="1368"/>
      <c r="F29" s="1368"/>
      <c r="G29" s="1368"/>
      <c r="H29" s="1368"/>
      <c r="I29" s="1368"/>
      <c r="J29" s="1368"/>
      <c r="K29" s="1368"/>
      <c r="L29" s="1369"/>
      <c r="M29" s="1368"/>
      <c r="N29" s="1368"/>
      <c r="O29" s="1368"/>
      <c r="S29" s="2250" t="s">
        <v>426</v>
      </c>
      <c r="T29" s="2250"/>
      <c r="U29" s="1372"/>
      <c r="V29" s="2251" t="str">
        <f>IF(TITLE_NUMBER_PR_CHANGE="",IF(TITLE_NUMBER_PR="","",TITLE_NUMBER_PR),TITLE_NUMBER_PR_CHANGE)</f>
        <v/>
      </c>
      <c r="W29" s="2251"/>
      <c r="X29" s="2251"/>
      <c r="Y29" s="2251"/>
      <c r="Z29" s="2251"/>
      <c r="AA29" s="2251"/>
      <c r="AB29" s="326"/>
      <c r="AC29" s="2251" t="str">
        <f>IF(TITLE_NUMBER_PR_CHANGE="",IF(TITLE_NUMBER_PR="","",TITLE_NUMBER_PR),TITLE_NUMBER_PR_CHANGE)</f>
        <v/>
      </c>
      <c r="AD29" s="2251"/>
      <c r="AE29" s="2251"/>
      <c r="AF29" s="2251"/>
      <c r="AG29" s="2251"/>
      <c r="AH29" s="2251"/>
      <c r="AI29" s="326"/>
      <c r="AJ29" s="326"/>
      <c r="AK29" s="280"/>
      <c r="AL29" s="368"/>
      <c r="AM29" s="368"/>
      <c r="AN29" s="368"/>
      <c r="AO29" s="368"/>
      <c r="AP29" s="368"/>
      <c r="AQ29" s="418">
        <v>0</v>
      </c>
    </row>
    <row s="1853" customFormat="1" customHeight="1" ht="18.75" hidden="1">
      <c r="A30" s="1368"/>
      <c r="B30" s="1368"/>
      <c r="C30" s="1368"/>
      <c r="D30" s="1368"/>
      <c r="E30" s="1368"/>
      <c r="F30" s="1368"/>
      <c r="G30" s="1368"/>
      <c r="H30" s="1368"/>
      <c r="I30" s="1368"/>
      <c r="J30" s="1368"/>
      <c r="K30" s="1368"/>
      <c r="L30" s="1369"/>
      <c r="M30" s="1368"/>
      <c r="N30" s="1368"/>
      <c r="O30" s="1368"/>
      <c r="S30" s="2250" t="s">
        <v>43</v>
      </c>
      <c r="T30" s="2250"/>
      <c r="U30" s="1372"/>
      <c r="V30" s="2251" t="str">
        <f>IF(TITLE_IST_PUB_CHANGE="",IF(TITLE_IST_PUB="","",TITLE_IST_PUB),TITLE_IST_PUB_CHANGE)</f>
        <v/>
      </c>
      <c r="W30" s="2251"/>
      <c r="X30" s="2251"/>
      <c r="Y30" s="2251"/>
      <c r="Z30" s="2251"/>
      <c r="AA30" s="2251"/>
      <c r="AB30" s="326"/>
      <c r="AC30" s="2251" t="str">
        <f>IF(TITLE_IST_PUB_CHANGE="",IF(TITLE_IST_PUB="","",TITLE_IST_PUB),TITLE_IST_PUB_CHANGE)</f>
        <v/>
      </c>
      <c r="AD30" s="2251"/>
      <c r="AE30" s="2251"/>
      <c r="AF30" s="2251"/>
      <c r="AG30" s="2251"/>
      <c r="AH30" s="2251"/>
      <c r="AI30" s="326"/>
      <c r="AJ30" s="326"/>
      <c r="AK30" s="280"/>
      <c r="AL30" s="368"/>
      <c r="AM30" s="368"/>
      <c r="AN30" s="368"/>
      <c r="AO30" s="368"/>
      <c r="AP30" s="368"/>
      <c r="AQ30" s="418">
        <v>0</v>
      </c>
    </row>
    <row customHeight="1" ht="14.25" hidden="1">
      <c r="Q31" s="376"/>
      <c r="R31" s="376"/>
      <c r="S31" s="1275"/>
      <c r="T31" s="363"/>
      <c r="U31" s="363"/>
      <c r="V31" s="322"/>
      <c r="W31" s="322"/>
      <c r="X31" s="322"/>
      <c r="Y31" s="322"/>
      <c r="Z31" s="322"/>
      <c r="AA31" s="322"/>
      <c r="AB31" s="322"/>
      <c r="AC31" s="322"/>
      <c r="AD31" s="322"/>
      <c r="AE31" s="322"/>
      <c r="AF31" s="322"/>
      <c r="AG31" s="322"/>
      <c r="AH31" s="322"/>
      <c r="AI31" s="322"/>
      <c r="AJ31" s="509"/>
      <c r="AQ31" s="1155">
        <v>0</v>
      </c>
    </row>
    <row s="1853" customFormat="1" customHeight="1" ht="18.75" hidden="1">
      <c r="A32" s="1368"/>
      <c r="B32" s="1368"/>
      <c r="C32" s="1368"/>
      <c r="D32" s="1368"/>
      <c r="E32" s="1368"/>
      <c r="F32" s="1368"/>
      <c r="G32" s="1368"/>
      <c r="H32" s="1368"/>
      <c r="I32" s="1368"/>
      <c r="J32" s="1368"/>
      <c r="K32" s="1368"/>
      <c r="L32" s="1369"/>
      <c r="M32" s="1368"/>
      <c r="N32" s="1368"/>
      <c r="O32" s="1368"/>
      <c r="S32" s="2250" t="s">
        <v>427</v>
      </c>
      <c r="T32" s="2250"/>
      <c r="U32" s="1372"/>
      <c r="V32" s="2264" t="str">
        <f>IF(TITLE_DATE_PR_CHANGE="",IF(TITLE_DATE_PR="","",TITLE_DATE_PR),TITLE_DATE_PR_CHANGE)</f>
        <v/>
      </c>
      <c r="W32" s="2264"/>
      <c r="X32" s="2264"/>
      <c r="Y32" s="2264"/>
      <c r="Z32" s="2264"/>
      <c r="AA32" s="2264"/>
      <c r="AB32" s="326"/>
      <c r="AC32" s="2264" t="str">
        <f>IF(TITLE_DATE_PR_CHANGE="",IF(TITLE_DATE_PR="","",TITLE_DATE_PR),TITLE_DATE_PR_CHANGE)</f>
        <v/>
      </c>
      <c r="AD32" s="2264"/>
      <c r="AE32" s="2264"/>
      <c r="AF32" s="2264"/>
      <c r="AG32" s="2264"/>
      <c r="AH32" s="2264"/>
      <c r="AI32" s="326"/>
      <c r="AJ32" s="326"/>
      <c r="AK32" s="280"/>
      <c r="AL32" s="368"/>
      <c r="AM32" s="368"/>
      <c r="AN32" s="368"/>
      <c r="AO32" s="368"/>
      <c r="AP32" s="368"/>
      <c r="AQ32" s="418">
        <v>0</v>
      </c>
    </row>
    <row s="1853" customFormat="1" customHeight="1" ht="18.75" hidden="1">
      <c r="A33" s="1368"/>
      <c r="B33" s="1368"/>
      <c r="C33" s="1368"/>
      <c r="D33" s="1368"/>
      <c r="E33" s="1368"/>
      <c r="F33" s="1368"/>
      <c r="G33" s="1368"/>
      <c r="H33" s="1368"/>
      <c r="I33" s="1368"/>
      <c r="J33" s="1368"/>
      <c r="K33" s="1368"/>
      <c r="L33" s="1369"/>
      <c r="M33" s="1368"/>
      <c r="N33" s="1368"/>
      <c r="O33" s="1368"/>
      <c r="S33" s="2250" t="s">
        <v>428</v>
      </c>
      <c r="T33" s="2250"/>
      <c r="U33" s="1372"/>
      <c r="V33" s="2251" t="str">
        <f>IF(TITLE_NUMBER_PR_CHANGE="",IF(TITLE_NUMBER_PR="","",TITLE_NUMBER_PR),TITLE_NUMBER_PR_CHANGE)</f>
        <v/>
      </c>
      <c r="W33" s="2251"/>
      <c r="X33" s="2251"/>
      <c r="Y33" s="2251"/>
      <c r="Z33" s="2251"/>
      <c r="AA33" s="2251"/>
      <c r="AB33" s="326"/>
      <c r="AC33" s="2251" t="str">
        <f>IF(TITLE_NUMBER_PR_CHANGE="",IF(TITLE_NUMBER_PR="","",TITLE_NUMBER_PR),TITLE_NUMBER_PR_CHANGE)</f>
        <v/>
      </c>
      <c r="AD33" s="2251"/>
      <c r="AE33" s="2251"/>
      <c r="AF33" s="2251"/>
      <c r="AG33" s="2251"/>
      <c r="AH33" s="2251"/>
      <c r="AI33" s="326"/>
      <c r="AJ33" s="326"/>
      <c r="AK33" s="280"/>
      <c r="AL33" s="368"/>
      <c r="AM33" s="368"/>
      <c r="AN33" s="368"/>
      <c r="AO33" s="368"/>
      <c r="AP33" s="368"/>
      <c r="AQ33" s="418">
        <v>0</v>
      </c>
    </row>
    <row s="1853" customFormat="1" customHeight="1" ht="1.05">
      <c r="A34" s="1368"/>
      <c r="B34" s="1368"/>
      <c r="C34" s="1368"/>
      <c r="D34" s="1368"/>
      <c r="E34" s="1368"/>
      <c r="F34" s="1368"/>
      <c r="G34" s="1368"/>
      <c r="H34" s="1368"/>
      <c r="I34" s="1368"/>
      <c r="J34" s="1368"/>
      <c r="K34" s="1368"/>
      <c r="L34" s="1369"/>
      <c r="M34" s="1368"/>
      <c r="N34" s="1368"/>
      <c r="O34" s="1368"/>
      <c r="S34" s="323"/>
      <c r="T34" s="323"/>
      <c r="U34" s="1454"/>
      <c r="V34" s="326"/>
      <c r="W34" s="326"/>
      <c r="X34" s="326"/>
      <c r="Y34" s="326"/>
      <c r="Z34" s="326"/>
      <c r="AA34" s="326"/>
      <c r="AB34" s="278" t="s">
        <v>429</v>
      </c>
      <c r="AC34" s="326"/>
      <c r="AD34" s="326"/>
      <c r="AE34" s="326"/>
      <c r="AF34" s="326"/>
      <c r="AG34" s="326"/>
      <c r="AH34" s="326"/>
      <c r="AI34" s="278" t="s">
        <v>429</v>
      </c>
      <c r="AL34" s="368"/>
      <c r="AM34" s="368"/>
      <c r="AN34" s="368"/>
      <c r="AO34" s="368"/>
      <c r="AP34" s="368"/>
      <c r="AQ34" s="418">
        <v>1</v>
      </c>
    </row>
    <row customHeight="1" ht="14.699999999999998">
      <c r="Q35" s="376"/>
      <c r="R35" s="376"/>
      <c r="S35" s="1275"/>
      <c r="T35" s="363"/>
      <c r="U35" s="1244"/>
      <c r="V35" s="2252"/>
      <c r="W35" s="2252"/>
      <c r="X35" s="2252"/>
      <c r="Y35" s="2252"/>
      <c r="Z35" s="2252"/>
      <c r="AA35" s="2252"/>
      <c r="AB35" s="2252"/>
      <c r="AC35" s="2252"/>
      <c r="AD35" s="2252"/>
      <c r="AE35" s="2252"/>
      <c r="AF35" s="2252"/>
      <c r="AG35" s="2252"/>
      <c r="AH35" s="2252"/>
      <c r="AI35" s="2252"/>
      <c r="AQ35" s="1155">
        <v>14</v>
      </c>
    </row>
    <row customHeight="1" ht="14.699999999999998">
      <c r="Q36" s="376"/>
      <c r="R36" s="376"/>
      <c r="S36" s="2127" t="s">
        <v>302</v>
      </c>
      <c r="T36" s="2127"/>
      <c r="U36" s="2127"/>
      <c r="V36" s="2127"/>
      <c r="W36" s="2127"/>
      <c r="X36" s="2127"/>
      <c r="Y36" s="2127"/>
      <c r="Z36" s="2127"/>
      <c r="AA36" s="2127"/>
      <c r="AB36" s="2127"/>
      <c r="AC36" s="2127"/>
      <c r="AD36" s="2127"/>
      <c r="AE36" s="2127"/>
      <c r="AF36" s="2127"/>
      <c r="AG36" s="2127"/>
      <c r="AH36" s="2127"/>
      <c r="AI36" s="2127"/>
      <c r="AJ36" s="2127"/>
      <c r="AK36" s="2127" t="s">
        <v>303</v>
      </c>
      <c r="AQ36" s="1155">
        <v>14</v>
      </c>
    </row>
    <row customHeight="1" ht="14.699999999999998">
      <c r="Q37" s="376"/>
      <c r="R37" s="376"/>
      <c r="S37" s="2273" t="s">
        <v>88</v>
      </c>
      <c r="T37" s="2209" t="s">
        <v>430</v>
      </c>
      <c r="U37" s="301"/>
      <c r="V37" s="2274" t="s">
        <v>431</v>
      </c>
      <c r="W37" s="2275"/>
      <c r="X37" s="2275"/>
      <c r="Y37" s="2275"/>
      <c r="Z37" s="2275"/>
      <c r="AA37" s="2276"/>
      <c r="AB37" s="2277" t="s">
        <v>432</v>
      </c>
      <c r="AC37" s="2274" t="s">
        <v>431</v>
      </c>
      <c r="AD37" s="2275"/>
      <c r="AE37" s="2275"/>
      <c r="AF37" s="2275"/>
      <c r="AG37" s="2275"/>
      <c r="AH37" s="2276"/>
      <c r="AI37" s="2277" t="s">
        <v>433</v>
      </c>
      <c r="AJ37" s="2280" t="s">
        <v>434</v>
      </c>
      <c r="AK37" s="2127"/>
      <c r="AQ37" s="1155">
        <v>14</v>
      </c>
    </row>
    <row customHeight="1" ht="35.699999999999996">
      <c r="Q38" s="376"/>
      <c r="R38" s="376"/>
      <c r="S38" s="2273"/>
      <c r="T38" s="2209"/>
      <c r="U38" s="1031"/>
      <c r="V38" s="1452" t="s">
        <v>491</v>
      </c>
      <c r="W38" s="2262" t="s">
        <v>437</v>
      </c>
      <c r="X38" s="2263"/>
      <c r="Y38" s="2262" t="s">
        <v>438</v>
      </c>
      <c r="Z38" s="2269"/>
      <c r="AA38" s="2263"/>
      <c r="AB38" s="2278"/>
      <c r="AC38" s="1452" t="s">
        <v>491</v>
      </c>
      <c r="AD38" s="2262" t="s">
        <v>437</v>
      </c>
      <c r="AE38" s="2263"/>
      <c r="AF38" s="2262" t="s">
        <v>438</v>
      </c>
      <c r="AG38" s="2269"/>
      <c r="AH38" s="2263"/>
      <c r="AI38" s="2278"/>
      <c r="AJ38" s="2281"/>
      <c r="AK38" s="2127"/>
      <c r="AQ38" s="1155">
        <v>34</v>
      </c>
    </row>
    <row customHeight="1" ht="35.699999999999996">
      <c r="A39" s="1370"/>
      <c r="B39" s="1370" t="s">
        <v>139</v>
      </c>
      <c r="C39" s="1370" t="s">
        <v>140</v>
      </c>
      <c r="D39" s="1370" t="s">
        <v>141</v>
      </c>
      <c r="E39" s="1364" t="s">
        <v>439</v>
      </c>
      <c r="F39" s="1364" t="s">
        <v>440</v>
      </c>
      <c r="G39" s="1364" t="s">
        <v>441</v>
      </c>
      <c r="H39" s="1364"/>
      <c r="I39" s="1364" t="s">
        <v>492</v>
      </c>
      <c r="J39" s="1364" t="s">
        <v>444</v>
      </c>
      <c r="K39" s="1364" t="s">
        <v>493</v>
      </c>
      <c r="L39" s="1364" t="s">
        <v>420</v>
      </c>
      <c r="Q39" s="376"/>
      <c r="R39" s="376"/>
      <c r="S39" s="2273"/>
      <c r="T39" s="2209"/>
      <c r="U39" s="302"/>
      <c r="V39" s="1452" t="s">
        <v>494</v>
      </c>
      <c r="W39" s="1222" t="s">
        <v>495</v>
      </c>
      <c r="X39" s="1222" t="s">
        <v>496</v>
      </c>
      <c r="Y39" s="1455" t="s">
        <v>448</v>
      </c>
      <c r="Z39" s="2270" t="s">
        <v>449</v>
      </c>
      <c r="AA39" s="2271"/>
      <c r="AB39" s="2279"/>
      <c r="AC39" s="1452" t="s">
        <v>494</v>
      </c>
      <c r="AD39" s="1222" t="s">
        <v>495</v>
      </c>
      <c r="AE39" s="1222" t="s">
        <v>496</v>
      </c>
      <c r="AF39" s="1455" t="s">
        <v>448</v>
      </c>
      <c r="AG39" s="2270" t="s">
        <v>449</v>
      </c>
      <c r="AH39" s="2271"/>
      <c r="AI39" s="2279"/>
      <c r="AJ39" s="2282"/>
      <c r="AK39" s="2127"/>
      <c r="AQ39" s="1155">
        <v>34</v>
      </c>
    </row>
    <row s="1641" customFormat="1" customHeight="1" ht="0">
      <c r="A40" s="1370"/>
      <c r="B40" s="1370"/>
      <c r="C40" s="1370"/>
      <c r="D40" s="1370"/>
      <c r="E40" s="1370"/>
      <c r="F40" s="1370"/>
      <c r="G40" s="1370"/>
      <c r="H40" s="1370"/>
      <c r="I40" s="1370"/>
      <c r="J40" s="1370"/>
      <c r="K40" s="1370"/>
      <c r="L40" s="1364"/>
      <c r="M40" s="1362"/>
      <c r="N40" s="1362"/>
      <c r="O40" s="1362"/>
      <c r="P40" s="1246"/>
      <c r="Q40" s="1247"/>
      <c r="R40" s="1254">
        <v>1</v>
      </c>
      <c r="S40" s="1277" t="s">
        <v>109</v>
      </c>
      <c r="T40" s="1255" t="s">
        <v>110</v>
      </c>
      <c r="U40" s="1245" t="str">
        <f>OFFSET(U40,0,-1)</f>
        <v>2</v>
      </c>
      <c r="V40" s="1451">
        <f>OFFSET(V40,0,-1)+1</f>
        <v>3</v>
      </c>
      <c r="W40" s="1451">
        <f>OFFSET(W40,0,-1)+1</f>
        <v>4</v>
      </c>
      <c r="X40" s="1451">
        <f>OFFSET(X40,0,-1)+1</f>
        <v>5</v>
      </c>
      <c r="Y40" s="1451">
        <f>OFFSET(Y40,0,-1)+1</f>
        <v>6</v>
      </c>
      <c r="Z40" s="2272">
        <f>OFFSET(Z40,0,-1)+1</f>
        <v>7</v>
      </c>
      <c r="AA40" s="2272"/>
      <c r="AB40" s="1451">
        <f>OFFSET(AB40,0,-2)+1</f>
        <v>8</v>
      </c>
      <c r="AC40" s="1451">
        <f>OFFSET(AC40,0,-1)+1</f>
        <v>9</v>
      </c>
      <c r="AD40" s="1451">
        <f>OFFSET(AD40,0,-1)+1</f>
        <v>10</v>
      </c>
      <c r="AE40" s="1451">
        <f>OFFSET(AE40,0,-1)+1</f>
        <v>11</v>
      </c>
      <c r="AF40" s="1451">
        <f>OFFSET(AF40,0,-1)+1</f>
        <v>12</v>
      </c>
      <c r="AG40" s="2272">
        <f>OFFSET(AG40,0,-1)+1</f>
        <v>13</v>
      </c>
      <c r="AH40" s="2272"/>
      <c r="AI40" s="1451">
        <f>OFFSET(AI40,0,-2)+1</f>
        <v>14</v>
      </c>
      <c r="AJ40" s="1245">
        <f>OFFSET(AJ40,0,-1)</f>
        <v>14</v>
      </c>
      <c r="AK40" s="1451">
        <f>OFFSET(AK40,0,-1)+1</f>
        <v>15</v>
      </c>
      <c r="AL40" s="511"/>
      <c r="AM40" s="511"/>
      <c r="AN40" s="511"/>
      <c r="AO40" s="511"/>
      <c r="AP40" s="511"/>
      <c r="AQ40" s="496">
        <v>0</v>
      </c>
    </row>
    <row customHeight="1" ht="24">
      <c r="A41" s="1363" t="s">
        <v>233</v>
      </c>
      <c r="B41" s="1363"/>
      <c r="C41" s="1363"/>
      <c r="D41" s="1363"/>
      <c r="E41" s="2258">
        <v>1</v>
      </c>
      <c r="F41" s="1363"/>
      <c r="G41" s="1363"/>
      <c r="H41" s="1363"/>
      <c r="I41" s="1363"/>
      <c r="J41" s="1363"/>
      <c r="K41" s="1363"/>
      <c r="L41" s="1364"/>
      <c r="M41" s="1365"/>
      <c r="N41" s="1365"/>
      <c r="O41" s="1365"/>
      <c r="P41" s="361"/>
      <c r="Q41" s="360"/>
      <c r="R41" s="355"/>
      <c r="S41" s="1457">
        <f>INDEX(PT_DIFFERENTIATION_NUM_NTAR,MATCH(A41,PT_DIFFERENTIATION_NTAR_ID,0))</f>
        <v>0</v>
      </c>
      <c r="T41" s="298" t="s">
        <v>127</v>
      </c>
      <c r="U41" s="300"/>
      <c r="V41" s="2242"/>
      <c r="W41" s="2243"/>
      <c r="X41" s="2243"/>
      <c r="Y41" s="2243"/>
      <c r="Z41" s="2243"/>
      <c r="AA41" s="2243"/>
      <c r="AB41" s="2244"/>
      <c r="AC41" s="2242" t="str">
        <f>INDEX(PT_DIFFERENTIATION_NTAR,MATCH(A41,PT_DIFFERENTIATION_NTAR_ID,0))</f>
        <v/>
      </c>
      <c r="AD41" s="2243"/>
      <c r="AE41" s="2243"/>
      <c r="AF41" s="2243"/>
      <c r="AG41" s="2243"/>
      <c r="AH41" s="2243"/>
      <c r="AI41" s="2243"/>
      <c r="AJ41" s="2244"/>
      <c r="AK41"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00"/>
      <c r="AN41" s="500" t="str">
        <f>IF(T41="","",T41)</f>
        <v>Наименование тарифа</v>
      </c>
      <c r="AO41" s="500"/>
      <c r="AP41" s="500"/>
      <c r="AQ41" s="1155">
        <v>23</v>
      </c>
    </row>
    <row customHeight="1" ht="24">
      <c r="A42" s="1363" t="s">
        <v>233</v>
      </c>
      <c r="B42" s="1363" t="s">
        <v>234</v>
      </c>
      <c r="C42" s="1363"/>
      <c r="D42" s="1363"/>
      <c r="E42" s="2259"/>
      <c r="F42" s="2258">
        <v>1</v>
      </c>
      <c r="G42" s="1363"/>
      <c r="H42" s="1363"/>
      <c r="I42" s="1363"/>
      <c r="J42" s="1363"/>
      <c r="K42" s="1363"/>
      <c r="L42" s="1364"/>
      <c r="M42" s="1365"/>
      <c r="N42" s="1365"/>
      <c r="O42" s="1365"/>
      <c r="P42" s="1453"/>
      <c r="Q42" s="352"/>
      <c r="R42" s="353"/>
      <c r="S42" s="1457" t="str">
        <f>INDEX(PT_DIFFERENTIATION_NUM_TER,MATCH(B42,PT_DIFFERENTIATION_TER_ID,0))</f>
        <v>.</v>
      </c>
      <c r="T42" s="308" t="s">
        <v>399</v>
      </c>
      <c r="U42" s="300"/>
      <c r="V42" s="2242"/>
      <c r="W42" s="2243"/>
      <c r="X42" s="2243"/>
      <c r="Y42" s="2243"/>
      <c r="Z42" s="2243"/>
      <c r="AA42" s="2243"/>
      <c r="AB42" s="2244"/>
      <c r="AC42" s="2242" t="str">
        <f>INDEX(PT_DIFFERENTIATION_TER,MATCH(B42,PT_DIFFERENTIATION_TER_ID,0))</f>
        <v/>
      </c>
      <c r="AD42" s="2243"/>
      <c r="AE42" s="2243"/>
      <c r="AF42" s="2243"/>
      <c r="AG42" s="2243"/>
      <c r="AH42" s="2243"/>
      <c r="AI42" s="2243"/>
      <c r="AJ42" s="2244"/>
      <c r="AK42" s="1258" t="s">
        <v>400</v>
      </c>
      <c r="AM42" s="500"/>
      <c r="AN42" s="500" t="str">
        <f>IF(T42="","",T42)</f>
        <v>Территория действия тарифа</v>
      </c>
      <c r="AO42" s="500"/>
      <c r="AP42" s="500"/>
      <c r="AQ42" s="1155">
        <v>23</v>
      </c>
    </row>
    <row customHeight="1" ht="24">
      <c r="A43" s="1363" t="s">
        <v>233</v>
      </c>
      <c r="B43" s="1363" t="s">
        <v>234</v>
      </c>
      <c r="C43" s="1363" t="s">
        <v>235</v>
      </c>
      <c r="D43" s="1363"/>
      <c r="E43" s="2259"/>
      <c r="F43" s="2259"/>
      <c r="G43" s="2258">
        <v>1</v>
      </c>
      <c r="H43" s="1363"/>
      <c r="I43" s="1363"/>
      <c r="J43" s="1363"/>
      <c r="K43" s="1363"/>
      <c r="L43" s="1364"/>
      <c r="M43" s="1365"/>
      <c r="N43" s="1365"/>
      <c r="O43" s="1365"/>
      <c r="P43" s="354"/>
      <c r="Q43" s="352"/>
      <c r="R43" s="353"/>
      <c r="S43" s="1457" t="str">
        <f>INDEX(PT_DIFFERENTIATION_NUM_CS,MATCH(C43,PT_DIFFERENTIATION_CS_ID,0))</f>
        <v>..</v>
      </c>
      <c r="T43" s="309" t="s">
        <v>483</v>
      </c>
      <c r="U43" s="300"/>
      <c r="V43" s="2242"/>
      <c r="W43" s="2243"/>
      <c r="X43" s="2243"/>
      <c r="Y43" s="2243"/>
      <c r="Z43" s="2243"/>
      <c r="AA43" s="2243"/>
      <c r="AB43" s="2244"/>
      <c r="AC43" s="2242" t="str">
        <f>INDEX(PT_DIFFERENTIATION_CS,MATCH(C43,PT_DIFFERENTIATION_CS_ID,0))</f>
        <v/>
      </c>
      <c r="AD43" s="2243"/>
      <c r="AE43" s="2243"/>
      <c r="AF43" s="2243"/>
      <c r="AG43" s="2243"/>
      <c r="AH43" s="2243"/>
      <c r="AI43" s="2243"/>
      <c r="AJ43" s="2244"/>
      <c r="AK43" s="1258" t="s">
        <v>484</v>
      </c>
      <c r="AM43" s="500"/>
      <c r="AN43" s="500" t="str">
        <f>IF(T43="","",T43)</f>
        <v>Наименование централизованной системы холодного водоснабжения</v>
      </c>
      <c r="AO43" s="500"/>
      <c r="AP43" s="500"/>
      <c r="AQ43" s="1155">
        <v>23</v>
      </c>
    </row>
    <row customHeight="1" ht="24">
      <c r="A44" s="1363" t="s">
        <v>233</v>
      </c>
      <c r="B44" s="1363" t="s">
        <v>234</v>
      </c>
      <c r="C44" s="1363" t="s">
        <v>235</v>
      </c>
      <c r="D44" s="1363" t="s">
        <v>498</v>
      </c>
      <c r="E44" s="2259"/>
      <c r="F44" s="2259"/>
      <c r="G44" s="2259"/>
      <c r="H44" s="2259"/>
      <c r="I44" s="2256" t="str">
        <f>S43&amp;".1"</f>
        <v>...1</v>
      </c>
      <c r="J44" s="1363"/>
      <c r="K44" s="1363"/>
      <c r="L44" s="1364"/>
      <c r="P44" s="2257">
        <v>1</v>
      </c>
      <c r="Q44" s="1450"/>
      <c r="R44" s="356"/>
      <c r="S44" s="1457" t="str">
        <f>$I44</f>
        <v>...1</v>
      </c>
      <c r="T44" s="285" t="s">
        <v>485</v>
      </c>
      <c r="U44" s="300"/>
      <c r="V44" s="2350"/>
      <c r="W44" s="2351"/>
      <c r="X44" s="2351"/>
      <c r="Y44" s="2351"/>
      <c r="Z44" s="2351"/>
      <c r="AA44" s="2351"/>
      <c r="AB44" s="2352"/>
      <c r="AC44" s="2353"/>
      <c r="AD44" s="2354"/>
      <c r="AE44" s="2354"/>
      <c r="AF44" s="2354"/>
      <c r="AG44" s="2354"/>
      <c r="AH44" s="2354"/>
      <c r="AI44" s="2354"/>
      <c r="AJ44" s="2355"/>
      <c r="AK44" s="1258" t="s">
        <v>486</v>
      </c>
      <c r="AM44" s="500"/>
      <c r="AN44" s="500" t="str">
        <f>IF(T44="","",T44)</f>
        <v>Наименование признака дифференциации</v>
      </c>
      <c r="AO44" s="500"/>
      <c r="AP44" s="500"/>
      <c r="AQ44" s="1155">
        <v>23</v>
      </c>
    </row>
    <row customHeight="1" ht="24">
      <c r="A45" s="1363" t="s">
        <v>233</v>
      </c>
      <c r="B45" s="1363" t="s">
        <v>234</v>
      </c>
      <c r="C45" s="1363" t="s">
        <v>235</v>
      </c>
      <c r="D45" s="1363" t="s">
        <v>498</v>
      </c>
      <c r="E45" s="2259"/>
      <c r="F45" s="2259"/>
      <c r="G45" s="2259"/>
      <c r="H45" s="2259"/>
      <c r="I45" s="2286"/>
      <c r="J45" s="2256" t="str">
        <f>I44&amp;".1"</f>
        <v>...1.1</v>
      </c>
      <c r="K45" s="1363"/>
      <c r="L45" s="1364" t="s">
        <v>408</v>
      </c>
      <c r="P45" s="2257"/>
      <c r="Q45" s="2257">
        <v>1</v>
      </c>
      <c r="R45" s="357"/>
      <c r="S45" s="1457" t="str">
        <f>$J45</f>
        <v>...1.1</v>
      </c>
      <c r="T45" s="286" t="s">
        <v>409</v>
      </c>
      <c r="U45" s="300"/>
      <c r="V45" s="2245"/>
      <c r="W45" s="2246"/>
      <c r="X45" s="2246"/>
      <c r="Y45" s="2246"/>
      <c r="Z45" s="2246"/>
      <c r="AA45" s="2246"/>
      <c r="AB45" s="2247"/>
      <c r="AC45" s="2245"/>
      <c r="AD45" s="2246"/>
      <c r="AE45" s="2246"/>
      <c r="AF45" s="2246"/>
      <c r="AG45" s="2246"/>
      <c r="AH45" s="2246"/>
      <c r="AI45" s="2246"/>
      <c r="AJ45" s="2247"/>
      <c r="AK45" s="1307" t="s">
        <v>487</v>
      </c>
      <c r="AM45" s="500"/>
      <c r="AN45" s="500" t="str">
        <f>IF(T45="","",T45)</f>
        <v>Группа потребителей</v>
      </c>
      <c r="AO45" s="500"/>
      <c r="AP45" s="500"/>
      <c r="AQ45" s="1155">
        <v>23</v>
      </c>
    </row>
    <row customHeight="1" ht="24">
      <c r="A46" s="1363" t="s">
        <v>233</v>
      </c>
      <c r="B46" s="1363" t="s">
        <v>234</v>
      </c>
      <c r="C46" s="1363" t="s">
        <v>235</v>
      </c>
      <c r="D46" s="1363" t="s">
        <v>498</v>
      </c>
      <c r="E46" s="2259"/>
      <c r="F46" s="2259"/>
      <c r="G46" s="2259"/>
      <c r="H46" s="2259"/>
      <c r="I46" s="2286"/>
      <c r="J46" s="2286"/>
      <c r="K46" s="2256" t="str">
        <f>J45&amp;".1"</f>
        <v>...1.1.1</v>
      </c>
      <c r="L46" s="1364"/>
      <c r="P46" s="2257"/>
      <c r="Q46" s="2257"/>
      <c r="R46" s="357">
        <v>1</v>
      </c>
      <c r="S46" s="1457" t="str">
        <f>$K46</f>
        <v>...1.1.1</v>
      </c>
      <c r="T46" s="1437"/>
      <c r="U46" s="300"/>
      <c r="V46" s="751"/>
      <c r="W46" s="751"/>
      <c r="X46" s="1257"/>
      <c r="Y46" s="2265"/>
      <c r="Z46" s="2107" t="s">
        <v>66</v>
      </c>
      <c r="AA46" s="2265"/>
      <c r="AB46" s="2107" t="s">
        <v>66</v>
      </c>
      <c r="AC46" s="751"/>
      <c r="AD46" s="751"/>
      <c r="AE46" s="1257"/>
      <c r="AF46" s="2265"/>
      <c r="AG46" s="2107" t="s">
        <v>66</v>
      </c>
      <c r="AH46" s="2287"/>
      <c r="AI46" s="2107" t="s">
        <v>66</v>
      </c>
      <c r="AJ46" s="1438"/>
      <c r="AK46" s="234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1">
        <f>STRCHECKDATE(V47:AJ47)</f>
      </c>
      <c r="AM46" s="500"/>
      <c r="AN46" s="500" t="str">
        <f>IF(T46="","",T46)</f>
        <v/>
      </c>
      <c r="AO46" s="500"/>
      <c r="AP46" s="500"/>
      <c r="AQ46" s="1155">
        <v>23</v>
      </c>
    </row>
    <row customHeight="1" ht="0">
      <c r="A47" s="1363" t="s">
        <v>233</v>
      </c>
      <c r="B47" s="1363" t="s">
        <v>234</v>
      </c>
      <c r="C47" s="1363" t="s">
        <v>235</v>
      </c>
      <c r="D47" s="1363" t="s">
        <v>498</v>
      </c>
      <c r="E47" s="2259"/>
      <c r="F47" s="2259"/>
      <c r="G47" s="2259"/>
      <c r="H47" s="2259"/>
      <c r="I47" s="2286"/>
      <c r="J47" s="2286"/>
      <c r="K47" s="2256"/>
      <c r="L47" s="1364"/>
      <c r="P47" s="2257"/>
      <c r="Q47" s="2257"/>
      <c r="R47" s="357"/>
      <c r="S47" s="1456"/>
      <c r="T47" s="300"/>
      <c r="U47" s="300"/>
      <c r="V47" s="325"/>
      <c r="W47" s="325"/>
      <c r="X47" s="328" t="str">
        <f>Y46&amp;"-"&amp;AA46</f>
        <v>-</v>
      </c>
      <c r="Y47" s="2266"/>
      <c r="Z47" s="2107"/>
      <c r="AA47" s="2266"/>
      <c r="AB47" s="2107"/>
      <c r="AC47" s="325"/>
      <c r="AD47" s="325"/>
      <c r="AE47" s="328" t="str">
        <f>AF46&amp;"-"&amp;AH46</f>
        <v>-</v>
      </c>
      <c r="AF47" s="2266"/>
      <c r="AG47" s="2107"/>
      <c r="AH47" s="2288"/>
      <c r="AI47" s="2107"/>
      <c r="AJ47" s="1439"/>
      <c r="AK47" s="2349"/>
      <c r="AM47" s="500"/>
      <c r="AN47" s="500" t="str">
        <f>IF(T47="","",T47)</f>
        <v/>
      </c>
      <c r="AO47" s="500"/>
      <c r="AP47" s="500"/>
      <c r="AQ47" s="1155">
        <v>0</v>
      </c>
    </row>
    <row customHeight="1" ht="21">
      <c r="A48" s="1363" t="s">
        <v>233</v>
      </c>
      <c r="B48" s="1363" t="s">
        <v>234</v>
      </c>
      <c r="C48" s="1363" t="s">
        <v>235</v>
      </c>
      <c r="D48" s="1363" t="s">
        <v>498</v>
      </c>
      <c r="E48" s="2259"/>
      <c r="F48" s="2259"/>
      <c r="G48" s="2259"/>
      <c r="H48" s="2259"/>
      <c r="I48" s="2286"/>
      <c r="J48" s="2256"/>
      <c r="K48" s="1363"/>
      <c r="L48" s="1364"/>
      <c r="P48" s="2257"/>
      <c r="Q48" s="2257"/>
      <c r="R48" s="356"/>
      <c r="S48" s="1278"/>
      <c r="T48" s="287" t="s">
        <v>488</v>
      </c>
      <c r="U48" s="367"/>
      <c r="V48" s="367"/>
      <c r="W48" s="367"/>
      <c r="X48" s="367"/>
      <c r="Y48" s="367"/>
      <c r="Z48" s="367"/>
      <c r="AA48" s="367"/>
      <c r="AB48" s="367"/>
      <c r="AC48" s="367"/>
      <c r="AD48" s="367"/>
      <c r="AE48" s="367"/>
      <c r="AF48" s="367"/>
      <c r="AG48" s="367"/>
      <c r="AH48" s="367"/>
      <c r="AI48" s="367"/>
      <c r="AJ48" s="367"/>
      <c r="AK48" s="1258" t="s">
        <v>489</v>
      </c>
      <c r="AM48" s="500"/>
      <c r="AN48" s="500" t="str">
        <f>IF(T48="","",T48)</f>
        <v>Добавить значение признака дифференциации</v>
      </c>
      <c r="AO48" s="500"/>
      <c r="AP48" s="500"/>
      <c r="AQ48" s="1155">
        <v>20</v>
      </c>
    </row>
    <row customHeight="1" ht="22.049999999999997">
      <c r="A49" s="1363" t="s">
        <v>233</v>
      </c>
      <c r="B49" s="1363" t="s">
        <v>234</v>
      </c>
      <c r="C49" s="1363" t="s">
        <v>235</v>
      </c>
      <c r="D49" s="1363" t="s">
        <v>498</v>
      </c>
      <c r="E49" s="2259"/>
      <c r="F49" s="2259"/>
      <c r="G49" s="2259"/>
      <c r="H49" s="2259"/>
      <c r="I49" s="2256"/>
      <c r="J49" s="1363"/>
      <c r="K49" s="1363"/>
      <c r="L49" s="1364"/>
      <c r="P49" s="2257"/>
      <c r="Q49" s="1450"/>
      <c r="R49" s="356"/>
      <c r="S49" s="1278"/>
      <c r="T49" s="365" t="s">
        <v>414</v>
      </c>
      <c r="U49" s="367"/>
      <c r="V49" s="367"/>
      <c r="W49" s="367"/>
      <c r="X49" s="367"/>
      <c r="Y49" s="367"/>
      <c r="Z49" s="367"/>
      <c r="AA49" s="367"/>
      <c r="AB49" s="366"/>
      <c r="AC49" s="367"/>
      <c r="AD49" s="367"/>
      <c r="AE49" s="367"/>
      <c r="AF49" s="367"/>
      <c r="AG49" s="367"/>
      <c r="AH49" s="367"/>
      <c r="AI49" s="366"/>
      <c r="AJ49" s="367"/>
      <c r="AK49" s="1440"/>
      <c r="AM49" s="500"/>
      <c r="AN49" s="500" t="str">
        <f>IF(T49="","",T49)</f>
        <v>Добавить группу потребителей</v>
      </c>
      <c r="AO49" s="500"/>
      <c r="AP49" s="500"/>
      <c r="AQ49" s="1155">
        <v>21</v>
      </c>
    </row>
    <row customHeight="1" ht="22.049999999999997">
      <c r="A50" s="1363" t="s">
        <v>233</v>
      </c>
      <c r="B50" s="1363" t="s">
        <v>234</v>
      </c>
      <c r="C50" s="1363" t="s">
        <v>235</v>
      </c>
      <c r="D50" s="1363" t="s">
        <v>498</v>
      </c>
      <c r="E50" s="2259"/>
      <c r="F50" s="2259"/>
      <c r="G50" s="2259"/>
      <c r="H50" s="2258"/>
      <c r="I50" s="1363"/>
      <c r="J50" s="1363"/>
      <c r="K50" s="1363"/>
      <c r="L50" s="1364"/>
      <c r="M50" s="1365"/>
      <c r="N50" s="1365"/>
      <c r="O50" s="537"/>
      <c r="P50" s="360"/>
      <c r="Q50" s="375"/>
      <c r="R50" s="355"/>
      <c r="S50" s="1278"/>
      <c r="T50" s="372" t="s">
        <v>490</v>
      </c>
      <c r="U50" s="367"/>
      <c r="V50" s="367"/>
      <c r="W50" s="367"/>
      <c r="X50" s="367"/>
      <c r="Y50" s="367"/>
      <c r="Z50" s="367"/>
      <c r="AA50" s="367"/>
      <c r="AB50" s="366"/>
      <c r="AC50" s="367"/>
      <c r="AD50" s="367"/>
      <c r="AE50" s="367"/>
      <c r="AF50" s="367"/>
      <c r="AG50" s="367"/>
      <c r="AH50" s="367"/>
      <c r="AI50" s="366"/>
      <c r="AJ50" s="367"/>
      <c r="AK50" s="303"/>
      <c r="AM50" s="500"/>
      <c r="AN50" s="500" t="str">
        <f>IF(T50="","",T50)</f>
        <v>Добавить наименование признака дифференциации</v>
      </c>
      <c r="AO50" s="500"/>
      <c r="AP50" s="500"/>
      <c r="AQ50" s="1155">
        <v>21</v>
      </c>
    </row>
    <row s="1642" customFormat="1" customHeight="1" ht="0">
      <c r="A51" s="1343" t="s">
        <v>233</v>
      </c>
      <c r="B51" s="1343" t="s">
        <v>234</v>
      </c>
      <c r="C51" s="1314"/>
      <c r="D51" s="1314"/>
      <c r="E51" s="2259"/>
      <c r="F51" s="2258"/>
      <c r="G51" s="1314"/>
      <c r="H51" s="1314"/>
      <c r="I51" s="1314"/>
      <c r="J51" s="1314"/>
      <c r="K51" s="1314"/>
      <c r="L51" s="1458"/>
      <c r="M51" s="1321"/>
      <c r="N51" s="1321"/>
      <c r="P51" s="1316"/>
      <c r="Q51" s="1317"/>
      <c r="R51" s="1316"/>
      <c r="S51" s="1322"/>
      <c r="T51" s="1325" t="s">
        <v>417</v>
      </c>
      <c r="U51" s="1324"/>
      <c r="V51" s="1324"/>
      <c r="W51" s="1324"/>
      <c r="X51" s="1324"/>
      <c r="Y51" s="1324"/>
      <c r="Z51" s="1324"/>
      <c r="AA51" s="1324"/>
      <c r="AB51" s="1324"/>
      <c r="AC51" s="1324"/>
      <c r="AD51" s="1324"/>
      <c r="AE51" s="1324"/>
      <c r="AF51" s="1324"/>
      <c r="AG51" s="1324"/>
      <c r="AH51" s="1324"/>
      <c r="AI51" s="1324"/>
      <c r="AJ51" s="1324"/>
      <c r="AK51" s="1324"/>
      <c r="AM51" s="789"/>
      <c r="AN51" s="789" t="str">
        <f>IF(T51="","",T51)</f>
        <v>Добавить централизованную систему для дифференциации</v>
      </c>
      <c r="AO51" s="789"/>
      <c r="AP51" s="789"/>
      <c r="AQ51" s="518">
        <v>0</v>
      </c>
    </row>
    <row s="1642" customFormat="1" customHeight="1" ht="0">
      <c r="A52" s="1343" t="s">
        <v>233</v>
      </c>
      <c r="B52" s="1343"/>
      <c r="C52" s="1343"/>
      <c r="D52" s="1343"/>
      <c r="E52" s="2258"/>
      <c r="F52" s="1343"/>
      <c r="G52" s="1343"/>
      <c r="H52" s="1343"/>
      <c r="I52" s="1343"/>
      <c r="J52" s="1343"/>
      <c r="K52" s="1343"/>
      <c r="L52" s="1346"/>
      <c r="M52" s="1321"/>
      <c r="N52" s="1321"/>
      <c r="O52" s="518"/>
      <c r="P52" s="380"/>
      <c r="Q52" s="1344"/>
      <c r="R52" s="380"/>
      <c r="S52" s="1322"/>
      <c r="T52" s="1325" t="s">
        <v>418</v>
      </c>
      <c r="U52" s="1324"/>
      <c r="V52" s="1324"/>
      <c r="W52" s="1324"/>
      <c r="X52" s="1324"/>
      <c r="Y52" s="1324"/>
      <c r="Z52" s="1324"/>
      <c r="AA52" s="1324"/>
      <c r="AB52" s="1324"/>
      <c r="AC52" s="1324"/>
      <c r="AD52" s="1324"/>
      <c r="AE52" s="1324"/>
      <c r="AF52" s="1324"/>
      <c r="AG52" s="1324"/>
      <c r="AH52" s="1324"/>
      <c r="AI52" s="1324"/>
      <c r="AJ52" s="1324"/>
      <c r="AK52" s="1324"/>
      <c r="AM52" s="500"/>
      <c r="AN52" s="500" t="str">
        <f>IF(T52="","",T52)</f>
        <v>Добавить территорию для дифференциации</v>
      </c>
      <c r="AO52" s="500"/>
      <c r="AP52" s="500"/>
      <c r="AQ52" s="511">
        <v>0</v>
      </c>
    </row>
    <row s="1642" customFormat="1" customHeight="1" ht="0">
      <c r="A53" s="1314"/>
      <c r="B53" s="1314"/>
      <c r="C53" s="1314"/>
      <c r="D53" s="1314"/>
      <c r="E53" s="1343"/>
      <c r="F53" s="1314"/>
      <c r="G53" s="1314"/>
      <c r="H53" s="1314"/>
      <c r="I53" s="1314"/>
      <c r="J53" s="1314"/>
      <c r="K53" s="1314"/>
      <c r="L53" s="1458"/>
      <c r="M53" s="1321"/>
      <c r="N53" s="1321"/>
      <c r="P53" s="1316"/>
      <c r="Q53" s="1317"/>
      <c r="R53" s="1316"/>
      <c r="S53" s="1322"/>
      <c r="T53" s="1325" t="s">
        <v>450</v>
      </c>
      <c r="U53" s="1324"/>
      <c r="V53" s="1324"/>
      <c r="W53" s="1324"/>
      <c r="X53" s="1324"/>
      <c r="Y53" s="1324"/>
      <c r="Z53" s="1324"/>
      <c r="AA53" s="1324"/>
      <c r="AB53" s="1324"/>
      <c r="AC53" s="1324"/>
      <c r="AD53" s="1324"/>
      <c r="AE53" s="1324"/>
      <c r="AF53" s="1324"/>
      <c r="AG53" s="1324"/>
      <c r="AH53" s="1324"/>
      <c r="AI53" s="1324"/>
      <c r="AJ53" s="1324"/>
      <c r="AK53" s="1324"/>
      <c r="AM53" s="789"/>
      <c r="AN53" s="789" t="str">
        <f>IF(T53="","",T53)</f>
        <v>Добавить наименование тарифа</v>
      </c>
      <c r="AO53" s="789"/>
      <c r="AP53" s="789"/>
      <c r="AQ53" s="518">
        <v>0</v>
      </c>
    </row>
    <row customHeight="1" ht="11.549999999999999">
      <c r="M54" s="1160"/>
      <c r="N54" s="1160"/>
      <c r="O54" s="537"/>
      <c r="P54" s="1155"/>
      <c r="Q54" s="1155"/>
      <c r="R54" s="1155"/>
      <c r="S54" s="1155"/>
      <c r="AL54" s="1155"/>
      <c r="AM54" s="1155"/>
      <c r="AN54" s="1155"/>
      <c r="AO54" s="1155"/>
      <c r="AP54" s="1155"/>
      <c r="AQ54" s="1155">
        <v>11</v>
      </c>
    </row>
    <row customHeight="1" ht="14.699999999999998">
      <c r="O55" s="537"/>
      <c r="S55" s="1253"/>
      <c r="T55" s="2285"/>
      <c r="U55" s="2285"/>
      <c r="V55" s="2285"/>
      <c r="W55" s="2285"/>
      <c r="X55" s="2285"/>
      <c r="Y55" s="2285"/>
      <c r="Z55" s="2285"/>
      <c r="AA55" s="2285"/>
      <c r="AB55" s="2285"/>
      <c r="AC55" s="2285"/>
      <c r="AD55" s="2285"/>
      <c r="AE55" s="2285"/>
      <c r="AF55" s="2285"/>
      <c r="AG55" s="2285"/>
      <c r="AH55" s="2285"/>
      <c r="AI55" s="2285"/>
      <c r="AJ55" s="2285"/>
      <c r="AK55" s="2285"/>
      <c r="AQ55" s="1155">
        <v>14</v>
      </c>
    </row>
    <row customHeight="1" ht="14.699999999999998">
      <c r="O56" s="537"/>
      <c r="AQ56" s="1155">
        <v>14</v>
      </c>
    </row>
    <row customHeight="1" ht="14.699999999999998">
      <c r="O57" s="537"/>
      <c r="S57" s="1253"/>
      <c r="T57" s="2285"/>
      <c r="U57" s="2285"/>
      <c r="V57" s="2285"/>
      <c r="W57" s="2285"/>
      <c r="X57" s="2285"/>
      <c r="Y57" s="2285"/>
      <c r="Z57" s="2285"/>
      <c r="AA57" s="2285"/>
      <c r="AB57" s="2285"/>
      <c r="AC57" s="2285"/>
      <c r="AD57" s="2285"/>
      <c r="AE57" s="2285"/>
      <c r="AF57" s="2285"/>
      <c r="AG57" s="2285"/>
      <c r="AH57" s="2285"/>
      <c r="AI57" s="2285"/>
      <c r="AJ57" s="2285"/>
      <c r="AK57" s="2285"/>
      <c r="AQ57" s="1155">
        <v>14</v>
      </c>
    </row>
    <row customHeight="1" ht="22.5" hidden="1">
      <c r="A58" s="1160" t="s">
        <v>82</v>
      </c>
      <c r="B58" s="1160">
        <v>0</v>
      </c>
      <c r="C58" s="1160">
        <v>0</v>
      </c>
      <c r="D58" s="1160">
        <v>0</v>
      </c>
      <c r="E58" s="1160">
        <v>0</v>
      </c>
      <c r="F58" s="1160">
        <v>0</v>
      </c>
      <c r="G58" s="1160">
        <v>0</v>
      </c>
      <c r="H58" s="1160">
        <v>0</v>
      </c>
      <c r="I58" s="1160">
        <v>0</v>
      </c>
      <c r="J58" s="1160">
        <v>0</v>
      </c>
      <c r="K58" s="1160">
        <v>0</v>
      </c>
      <c r="L58" s="1447">
        <v>0</v>
      </c>
      <c r="M58" s="1362">
        <v>0</v>
      </c>
      <c r="N58" s="1362">
        <v>0</v>
      </c>
      <c r="O58" s="1362">
        <v>0</v>
      </c>
      <c r="P58" s="1446">
        <v>3</v>
      </c>
      <c r="Q58" s="344">
        <v>3</v>
      </c>
      <c r="R58" s="344">
        <v>3</v>
      </c>
      <c r="S58" s="581">
        <v>12</v>
      </c>
      <c r="T58" s="1155">
        <v>35</v>
      </c>
      <c r="U58" s="1155">
        <v>0</v>
      </c>
      <c r="V58" s="1155">
        <v>0</v>
      </c>
      <c r="W58" s="1155">
        <v>0</v>
      </c>
      <c r="X58" s="1155">
        <v>0</v>
      </c>
      <c r="Y58" s="1155">
        <v>0</v>
      </c>
      <c r="Z58" s="1155">
        <v>0</v>
      </c>
      <c r="AA58" s="1155">
        <v>0</v>
      </c>
      <c r="AB58" s="1155">
        <v>0</v>
      </c>
      <c r="AC58" s="1155">
        <v>24</v>
      </c>
      <c r="AD58" s="1155">
        <v>24</v>
      </c>
      <c r="AE58" s="1155">
        <v>24</v>
      </c>
      <c r="AF58" s="1155">
        <v>11</v>
      </c>
      <c r="AG58" s="1155">
        <v>3</v>
      </c>
      <c r="AH58" s="1155">
        <v>11</v>
      </c>
      <c r="AI58" s="1155">
        <v>0</v>
      </c>
      <c r="AJ58" s="1155">
        <v>4</v>
      </c>
      <c r="AK58" s="1155">
        <v>115</v>
      </c>
      <c r="AL58" s="511">
        <v>10</v>
      </c>
      <c r="AM58" s="511">
        <v>10</v>
      </c>
      <c r="AN58" s="511">
        <v>10</v>
      </c>
      <c r="AO58" s="511">
        <v>10</v>
      </c>
      <c r="AP58" s="511">
        <v>10</v>
      </c>
      <c r="AQ58" s="1155">
        <v>23</v>
      </c>
    </row>
  </sheetData>
  <sheetProtection formatColumns="0" formatRows="0" autoFilter="0" sort="0" insertRows="0" insertColumns="1" deleteRows="0" deleteColumns="0"/>
  <mergeCells count="101">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K46:K47"/>
    <mergeCell ref="Y46:Y47"/>
    <mergeCell ref="E2:E13"/>
    <mergeCell ref="V2:AB2"/>
    <mergeCell ref="AC2:AJ2"/>
    <mergeCell ref="AI37:AI39"/>
    <mergeCell ref="V29:AA29"/>
    <mergeCell ref="AC29:AH29"/>
    <mergeCell ref="V30:AA30"/>
    <mergeCell ref="AC30:AH30"/>
    <mergeCell ref="Z39:AA39"/>
    <mergeCell ref="AG39:AH39"/>
    <mergeCell ref="AI7:AI8"/>
    <mergeCell ref="S30:T30"/>
    <mergeCell ref="S24:AH24"/>
    <mergeCell ref="S25:AH25"/>
    <mergeCell ref="S27:T27"/>
    <mergeCell ref="V27:AA27"/>
    <mergeCell ref="AC27:AH27"/>
    <mergeCell ref="S28:T28"/>
    <mergeCell ref="V28:AA28"/>
    <mergeCell ref="Y38:AA38"/>
    <mergeCell ref="AD38:AE38"/>
    <mergeCell ref="AF38:AH38"/>
    <mergeCell ref="AG7:AG8"/>
    <mergeCell ref="AH7:AH8"/>
    <mergeCell ref="AK7:AK8"/>
    <mergeCell ref="AF15:AF16"/>
    <mergeCell ref="AG15:AG16"/>
    <mergeCell ref="AH15:AH16"/>
    <mergeCell ref="AI15:AI16"/>
    <mergeCell ref="Z46:Z47"/>
    <mergeCell ref="AC45:AJ45"/>
    <mergeCell ref="AA46:AA47"/>
    <mergeCell ref="AB46:AB47"/>
    <mergeCell ref="AF46:AF47"/>
    <mergeCell ref="AK46:AK47"/>
    <mergeCell ref="S29:T29"/>
    <mergeCell ref="F3:F12"/>
    <mergeCell ref="V3:AB3"/>
    <mergeCell ref="AC3:AJ3"/>
    <mergeCell ref="G4:G11"/>
    <mergeCell ref="V4:AB4"/>
    <mergeCell ref="AC4:AJ4"/>
    <mergeCell ref="H5:H11"/>
    <mergeCell ref="I5:I10"/>
    <mergeCell ref="P5:P10"/>
    <mergeCell ref="V5:AB5"/>
    <mergeCell ref="AC5:AJ5"/>
    <mergeCell ref="J6:J9"/>
    <mergeCell ref="Q6:Q9"/>
    <mergeCell ref="K7:K8"/>
    <mergeCell ref="Y7:Y8"/>
    <mergeCell ref="V6:AB6"/>
    <mergeCell ref="AC6:AJ6"/>
    <mergeCell ref="AC28:AH28"/>
    <mergeCell ref="Z7:Z8"/>
    <mergeCell ref="AA7:AA8"/>
    <mergeCell ref="AB7:AB8"/>
    <mergeCell ref="AF7:AF8"/>
    <mergeCell ref="T55:AK55"/>
    <mergeCell ref="T57:AK57"/>
    <mergeCell ref="V35:AB35"/>
    <mergeCell ref="S32:T32"/>
    <mergeCell ref="V32:AA32"/>
    <mergeCell ref="AC32:AH32"/>
    <mergeCell ref="S33:T33"/>
    <mergeCell ref="V33:AA33"/>
    <mergeCell ref="AC33:AH33"/>
    <mergeCell ref="AC35:AI35"/>
    <mergeCell ref="Z40:AA40"/>
    <mergeCell ref="AG40:AH40"/>
    <mergeCell ref="S36:AJ36"/>
    <mergeCell ref="AK36:AK39"/>
    <mergeCell ref="S37:S39"/>
    <mergeCell ref="T37:T39"/>
    <mergeCell ref="V37:AA37"/>
    <mergeCell ref="AB37:AB39"/>
    <mergeCell ref="AG46:AG47"/>
    <mergeCell ref="AH46:AH47"/>
    <mergeCell ref="AI46:AI47"/>
    <mergeCell ref="AJ37:AJ39"/>
    <mergeCell ref="AC37:AH37"/>
    <mergeCell ref="W38:X38"/>
  </mergeCells>
  <dataValidations count="8">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X47 AE8 X8 AE47"/>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44:AJ44 AC5:AJ5">
      <formula1>900</formula1>
    </dataValidation>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Y46 AA46 AH7 AF7 Y7 AA7"/>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46 AI524330 AI196650 AI589866 AI655402 AI15 AI720938 AI786474 AI852010 AI917546 AI983082 AI65578 AI131114 AI458794 AI262186 AG46 AI7 Z46 AB46 AG15 AG7 Z7 AB7 AI327722 AI393258"/>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07E64EE-23BD-E9A3-9AEE-DBADF8681EE6}" mc:Ignorable="x14ac xr xr2 xr3">
  <sheetPr>
    <tabColor theme="6" tint="0.4"/>
  </sheetPr>
  <dimension ref="A1:AQ58"/>
  <sheetViews>
    <sheetView showGridLines="0" zoomScale="90" workbookViewId="0">
      <pane xSplit="28" ySplit="40" topLeftCell="AC41" activePane="bottomRight" state="frozen"/>
      <selection pane="bottomLeft" activeCell="A41" sqref="A41"/>
      <selection pane="topRight" activeCell="AC1" sqref="AC1"/>
      <selection pane="bottomRight" activeCell="A1" sqref="A1"/>
    </sheetView>
  </sheetViews>
  <sheetFormatPr defaultColWidth="10.57421875" customHeight="1" defaultRowHeight="14.25"/>
  <cols>
    <col min="1" max="1" style="1366" width="10.57421875" hidden="1"/>
    <col min="2" max="2" style="1366" width="11.00390625" hidden="1" customWidth="1"/>
    <col min="3" max="3" style="1366" width="10.57421875" hidden="1"/>
    <col min="4" max="4" style="1366" width="11.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4.140625" hidden="1" customWidth="1"/>
    <col min="10" max="10" style="1366" width="9.8515625" hidden="1" customWidth="1"/>
    <col min="11" max="11" style="1366" width="14.7109375" hidden="1" customWidth="1"/>
    <col min="12" max="12" style="2607" width="19.140625" hidden="1" customWidth="1"/>
    <col min="13" max="14" style="1776" width="12.28125" hidden="1" customWidth="1"/>
    <col min="15" max="15" style="1776" width="23.421875" hidden="1" customWidth="1"/>
    <col min="16" max="16" style="2397" width="3.00390625" customWidth="1"/>
    <col min="17" max="18" style="344" width="3.00390625" customWidth="1"/>
    <col min="19" max="19" style="2407" width="12.00390625" customWidth="1"/>
    <col min="20" max="20" style="1635" width="35.00390625" customWidth="1"/>
    <col min="21" max="21" style="1635" width="0.140625" customWidth="1"/>
    <col min="22" max="24" style="1635" width="24.7109375" hidden="1" customWidth="1"/>
    <col min="25" max="25" style="1635" width="11.7109375" hidden="1" customWidth="1"/>
    <col min="26" max="26" style="1635" width="3.7109375" hidden="1" customWidth="1"/>
    <col min="27" max="27" style="1635" width="11.7109375" hidden="1" customWidth="1"/>
    <col min="28" max="28" style="1635" width="8.57421875" hidden="1" customWidth="1"/>
    <col min="29" max="29" style="1635" width="24.7109375" customWidth="1"/>
    <col min="30" max="31" style="1635" width="24.00390625" customWidth="1"/>
    <col min="32" max="32" style="1635" width="11.00390625" customWidth="1"/>
    <col min="33" max="33" style="1635" width="3.7109375" customWidth="1"/>
    <col min="34" max="34" style="1635" width="11.00390625" customWidth="1"/>
    <col min="35" max="35" style="1635" width="8.57421875" hidden="1" customWidth="1"/>
    <col min="36" max="36" style="1635" width="4.00390625" customWidth="1"/>
    <col min="37" max="37" style="1635" width="115.00390625" customWidth="1"/>
    <col min="38" max="42" style="1642" width="10.00390625" customWidth="1"/>
    <col min="43" max="43" style="1635" width="10.57421875" hidden="1"/>
  </cols>
  <sheetData>
    <row customHeight="1" ht="22.5" hidden="1">
      <c r="X1" s="327"/>
      <c r="Y1" s="327"/>
      <c r="AE1" s="327"/>
      <c r="AF1" s="327"/>
      <c r="AQ1" s="1155" t="s">
        <v>14</v>
      </c>
    </row>
    <row customHeight="1" ht="23.25" hidden="1">
      <c r="A2" s="1363"/>
      <c r="B2" s="1363"/>
      <c r="C2" s="1363"/>
      <c r="D2" s="1363"/>
      <c r="E2" s="2258">
        <v>1</v>
      </c>
      <c r="F2" s="1363"/>
      <c r="G2" s="1363"/>
      <c r="H2" s="1363"/>
      <c r="I2" s="1363"/>
      <c r="J2" s="1363"/>
      <c r="K2" s="1363"/>
      <c r="L2" s="1364"/>
      <c r="M2" s="1365"/>
      <c r="N2" s="1365"/>
      <c r="O2" s="1365"/>
      <c r="P2" s="361"/>
      <c r="Q2" s="360"/>
      <c r="R2" s="355"/>
      <c r="S2" s="1457">
        <f>INDEX(PT_DIFFERENTIATION_NUM_NTAR,MATCH(A2,PT_DIFFERENTIATION_NTAR_ID,0))</f>
      </c>
      <c r="T2" s="298" t="s">
        <v>127</v>
      </c>
      <c r="U2" s="300"/>
      <c r="V2" s="2242"/>
      <c r="W2" s="2243"/>
      <c r="X2" s="2243"/>
      <c r="Y2" s="2243"/>
      <c r="Z2" s="2243"/>
      <c r="AA2" s="2243"/>
      <c r="AB2" s="2244"/>
      <c r="AC2" s="2242">
        <f>INDEX(PT_DIFFERENTIATION_NTAR,MATCH(A2,PT_DIFFERENTIATION_NTAR_ID,0))</f>
      </c>
      <c r="AD2" s="2243"/>
      <c r="AE2" s="2243"/>
      <c r="AF2" s="2243"/>
      <c r="AG2" s="2243"/>
      <c r="AH2" s="2243"/>
      <c r="AI2" s="2243"/>
      <c r="AJ2" s="2244"/>
      <c r="AK2"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00"/>
      <c r="AN2" s="500" t="str">
        <f>IF(T2="","",T2)</f>
        <v>Наименование тарифа</v>
      </c>
      <c r="AO2" s="500"/>
      <c r="AP2" s="500"/>
      <c r="AQ2" s="1155">
        <v>0</v>
      </c>
    </row>
    <row customHeight="1" ht="23.25" hidden="1">
      <c r="A3" s="1363"/>
      <c r="B3" s="1363"/>
      <c r="C3" s="1363"/>
      <c r="D3" s="1363"/>
      <c r="E3" s="2259"/>
      <c r="F3" s="2258">
        <v>1</v>
      </c>
      <c r="G3" s="1363"/>
      <c r="H3" s="1363"/>
      <c r="I3" s="1363"/>
      <c r="J3" s="1363"/>
      <c r="K3" s="1363"/>
      <c r="L3" s="1364"/>
      <c r="M3" s="1365"/>
      <c r="N3" s="1365"/>
      <c r="O3" s="1365"/>
      <c r="P3" s="1453"/>
      <c r="Q3" s="352"/>
      <c r="R3" s="353"/>
      <c r="S3" s="1457">
        <f>INDEX(PT_DIFFERENTIATION_NUM_TER,MATCH(B3,PT_DIFFERENTIATION_TER_ID,0))</f>
      </c>
      <c r="T3" s="308" t="s">
        <v>399</v>
      </c>
      <c r="U3" s="300"/>
      <c r="V3" s="2242"/>
      <c r="W3" s="2243"/>
      <c r="X3" s="2243"/>
      <c r="Y3" s="2243"/>
      <c r="Z3" s="2243"/>
      <c r="AA3" s="2243"/>
      <c r="AB3" s="2244"/>
      <c r="AC3" s="2242">
        <f>INDEX(PT_DIFFERENTIATION_TER,MATCH(B3,PT_DIFFERENTIATION_TER_ID,0))</f>
      </c>
      <c r="AD3" s="2243"/>
      <c r="AE3" s="2243"/>
      <c r="AF3" s="2243"/>
      <c r="AG3" s="2243"/>
      <c r="AH3" s="2243"/>
      <c r="AI3" s="2243"/>
      <c r="AJ3" s="2244"/>
      <c r="AK3" s="1258" t="s">
        <v>400</v>
      </c>
      <c r="AM3" s="500"/>
      <c r="AN3" s="500" t="str">
        <f>IF(T3="","",T3)</f>
        <v>Территория действия тарифа</v>
      </c>
      <c r="AO3" s="500"/>
      <c r="AP3" s="500"/>
      <c r="AQ3" s="1155">
        <v>0</v>
      </c>
    </row>
    <row customHeight="1" ht="23.25" hidden="1">
      <c r="A4" s="1363"/>
      <c r="B4" s="1363"/>
      <c r="C4" s="1363"/>
      <c r="D4" s="1363"/>
      <c r="E4" s="2259"/>
      <c r="F4" s="2259"/>
      <c r="G4" s="2258">
        <v>1</v>
      </c>
      <c r="H4" s="1363"/>
      <c r="I4" s="1363"/>
      <c r="J4" s="1363"/>
      <c r="K4" s="1363"/>
      <c r="L4" s="1364"/>
      <c r="M4" s="1365"/>
      <c r="N4" s="1365"/>
      <c r="O4" s="1365"/>
      <c r="P4" s="354"/>
      <c r="Q4" s="352"/>
      <c r="R4" s="353"/>
      <c r="S4" s="1457">
        <f>INDEX(PT_DIFFERENTIATION_NUM_CS,MATCH(C4,PT_DIFFERENTIATION_CS_ID,0))</f>
      </c>
      <c r="T4" s="309" t="s">
        <v>483</v>
      </c>
      <c r="U4" s="300"/>
      <c r="V4" s="2242"/>
      <c r="W4" s="2243"/>
      <c r="X4" s="2243"/>
      <c r="Y4" s="2243"/>
      <c r="Z4" s="2243"/>
      <c r="AA4" s="2243"/>
      <c r="AB4" s="2244"/>
      <c r="AC4" s="2242">
        <f>INDEX(PT_DIFFERENTIATION_CS,MATCH(C4,PT_DIFFERENTIATION_CS_ID,0))</f>
      </c>
      <c r="AD4" s="2243"/>
      <c r="AE4" s="2243"/>
      <c r="AF4" s="2243"/>
      <c r="AG4" s="2243"/>
      <c r="AH4" s="2243"/>
      <c r="AI4" s="2243"/>
      <c r="AJ4" s="2244"/>
      <c r="AK4" s="1258" t="s">
        <v>484</v>
      </c>
      <c r="AM4" s="500"/>
      <c r="AN4" s="500" t="str">
        <f>IF(T4="","",T4)</f>
        <v>Наименование централизованной системы холодного водоснабжения</v>
      </c>
      <c r="AO4" s="500"/>
      <c r="AP4" s="500"/>
      <c r="AQ4" s="1155">
        <v>0</v>
      </c>
    </row>
    <row customHeight="1" ht="23.25" hidden="1">
      <c r="A5" s="1363"/>
      <c r="B5" s="1363"/>
      <c r="C5" s="1363"/>
      <c r="D5" s="1363"/>
      <c r="E5" s="2259"/>
      <c r="F5" s="2259"/>
      <c r="G5" s="2259"/>
      <c r="H5" s="2259"/>
      <c r="I5" s="2256">
        <f>S4&amp;".1"</f>
      </c>
      <c r="J5" s="1363"/>
      <c r="K5" s="1363"/>
      <c r="L5" s="1364"/>
      <c r="P5" s="2257">
        <v>1</v>
      </c>
      <c r="Q5" s="1450"/>
      <c r="R5" s="356"/>
      <c r="S5" s="1457">
        <f>$I5</f>
      </c>
      <c r="T5" s="285" t="s">
        <v>485</v>
      </c>
      <c r="U5" s="300"/>
      <c r="V5" s="2350"/>
      <c r="W5" s="2351"/>
      <c r="X5" s="2351"/>
      <c r="Y5" s="2351"/>
      <c r="Z5" s="2351"/>
      <c r="AA5" s="2351"/>
      <c r="AB5" s="2352"/>
      <c r="AC5" s="2353"/>
      <c r="AD5" s="2354"/>
      <c r="AE5" s="2354"/>
      <c r="AF5" s="2354"/>
      <c r="AG5" s="2354"/>
      <c r="AH5" s="2354"/>
      <c r="AI5" s="2354"/>
      <c r="AJ5" s="2355"/>
      <c r="AK5" s="1258" t="s">
        <v>486</v>
      </c>
      <c r="AM5" s="500"/>
      <c r="AN5" s="500" t="str">
        <f>IF(T5="","",T5)</f>
        <v>Наименование признака дифференциации</v>
      </c>
      <c r="AO5" s="500"/>
      <c r="AP5" s="500"/>
      <c r="AQ5" s="1155">
        <v>0</v>
      </c>
    </row>
    <row customHeight="1" ht="23.25" hidden="1">
      <c r="A6" s="1363"/>
      <c r="B6" s="1363"/>
      <c r="C6" s="1363"/>
      <c r="D6" s="1363"/>
      <c r="E6" s="2259"/>
      <c r="F6" s="2259"/>
      <c r="G6" s="2259"/>
      <c r="H6" s="2259"/>
      <c r="I6" s="2286"/>
      <c r="J6" s="2256">
        <f>I5&amp;".1"</f>
      </c>
      <c r="K6" s="1363"/>
      <c r="L6" s="1364" t="s">
        <v>408</v>
      </c>
      <c r="P6" s="2257"/>
      <c r="Q6" s="2257">
        <v>1</v>
      </c>
      <c r="R6" s="357"/>
      <c r="S6" s="1457">
        <f>$J6</f>
      </c>
      <c r="T6" s="286" t="s">
        <v>409</v>
      </c>
      <c r="U6" s="300"/>
      <c r="V6" s="2245"/>
      <c r="W6" s="2246"/>
      <c r="X6" s="2246"/>
      <c r="Y6" s="2246"/>
      <c r="Z6" s="2246"/>
      <c r="AA6" s="2246"/>
      <c r="AB6" s="2247"/>
      <c r="AC6" s="2245"/>
      <c r="AD6" s="2246"/>
      <c r="AE6" s="2246"/>
      <c r="AF6" s="2246"/>
      <c r="AG6" s="2246"/>
      <c r="AH6" s="2246"/>
      <c r="AI6" s="2246"/>
      <c r="AJ6" s="2247"/>
      <c r="AK6" s="1307" t="s">
        <v>487</v>
      </c>
      <c r="AM6" s="500"/>
      <c r="AN6" s="500" t="str">
        <f>IF(T6="","",T6)</f>
        <v>Группа потребителей</v>
      </c>
      <c r="AO6" s="500"/>
      <c r="AP6" s="500"/>
      <c r="AQ6" s="1155">
        <v>0</v>
      </c>
    </row>
    <row customHeight="1" ht="23.25" hidden="1">
      <c r="A7" s="1363"/>
      <c r="B7" s="1363"/>
      <c r="C7" s="1363"/>
      <c r="D7" s="1363"/>
      <c r="E7" s="2259"/>
      <c r="F7" s="2259"/>
      <c r="G7" s="2259"/>
      <c r="H7" s="2259"/>
      <c r="I7" s="2286"/>
      <c r="J7" s="2286"/>
      <c r="K7" s="2256">
        <f>J6&amp;".1"</f>
      </c>
      <c r="L7" s="1364"/>
      <c r="P7" s="2257"/>
      <c r="Q7" s="2257"/>
      <c r="R7" s="357">
        <v>1</v>
      </c>
      <c r="S7" s="1457">
        <f>$K7</f>
      </c>
      <c r="T7" s="1437"/>
      <c r="U7" s="300"/>
      <c r="V7" s="751"/>
      <c r="W7" s="751"/>
      <c r="X7" s="1257"/>
      <c r="Y7" s="2265"/>
      <c r="Z7" s="2107" t="s">
        <v>66</v>
      </c>
      <c r="AA7" s="2265"/>
      <c r="AB7" s="2107" t="s">
        <v>66</v>
      </c>
      <c r="AC7" s="751"/>
      <c r="AD7" s="751"/>
      <c r="AE7" s="1257"/>
      <c r="AF7" s="2265"/>
      <c r="AG7" s="2107" t="s">
        <v>66</v>
      </c>
      <c r="AH7" s="2287"/>
      <c r="AI7" s="2107" t="s">
        <v>66</v>
      </c>
      <c r="AJ7" s="1438"/>
      <c r="AK7" s="234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1">
        <f>STRCHECKDATE(V8:AJ8)</f>
      </c>
      <c r="AM7" s="500"/>
      <c r="AN7" s="500" t="str">
        <f>IF(T7="","",T7)</f>
        <v/>
      </c>
      <c r="AO7" s="500"/>
      <c r="AP7" s="500"/>
      <c r="AQ7" s="1155">
        <v>0</v>
      </c>
    </row>
    <row customHeight="1" ht="14.25" hidden="1">
      <c r="A8" s="1363"/>
      <c r="B8" s="1363"/>
      <c r="C8" s="1363"/>
      <c r="D8" s="1363"/>
      <c r="E8" s="2259"/>
      <c r="F8" s="2259"/>
      <c r="G8" s="2259"/>
      <c r="H8" s="2259"/>
      <c r="I8" s="2286"/>
      <c r="J8" s="2286"/>
      <c r="K8" s="2256"/>
      <c r="L8" s="1364"/>
      <c r="P8" s="2257"/>
      <c r="Q8" s="2257"/>
      <c r="R8" s="357"/>
      <c r="S8" s="1456"/>
      <c r="T8" s="300"/>
      <c r="U8" s="300"/>
      <c r="V8" s="325"/>
      <c r="W8" s="325"/>
      <c r="X8" s="328" t="str">
        <f>Y7&amp;"-"&amp;AA7</f>
        <v>-</v>
      </c>
      <c r="Y8" s="2266"/>
      <c r="Z8" s="2107"/>
      <c r="AA8" s="2266"/>
      <c r="AB8" s="2107"/>
      <c r="AC8" s="325"/>
      <c r="AD8" s="325"/>
      <c r="AE8" s="328" t="str">
        <f>AF7&amp;"-"&amp;AH7</f>
        <v>-</v>
      </c>
      <c r="AF8" s="2266"/>
      <c r="AG8" s="2107"/>
      <c r="AH8" s="2288"/>
      <c r="AI8" s="2107"/>
      <c r="AJ8" s="1439"/>
      <c r="AK8" s="2349"/>
      <c r="AM8" s="500"/>
      <c r="AN8" s="500" t="str">
        <f>IF(T8="","",T8)</f>
        <v/>
      </c>
      <c r="AO8" s="500"/>
      <c r="AP8" s="500"/>
      <c r="AQ8" s="1155">
        <v>0</v>
      </c>
    </row>
    <row customHeight="1" ht="21" hidden="1">
      <c r="A9" s="1363"/>
      <c r="B9" s="1363"/>
      <c r="C9" s="1363"/>
      <c r="D9" s="1363"/>
      <c r="E9" s="2259"/>
      <c r="F9" s="2259"/>
      <c r="G9" s="2259"/>
      <c r="H9" s="2259"/>
      <c r="I9" s="2286"/>
      <c r="J9" s="2256"/>
      <c r="K9" s="1363"/>
      <c r="L9" s="1364"/>
      <c r="P9" s="2257"/>
      <c r="Q9" s="2257"/>
      <c r="R9" s="356"/>
      <c r="S9" s="1278"/>
      <c r="T9" s="287" t="s">
        <v>488</v>
      </c>
      <c r="U9" s="367"/>
      <c r="V9" s="367"/>
      <c r="W9" s="367"/>
      <c r="X9" s="367"/>
      <c r="Y9" s="367"/>
      <c r="Z9" s="367"/>
      <c r="AA9" s="367"/>
      <c r="AB9" s="367"/>
      <c r="AC9" s="367"/>
      <c r="AD9" s="367"/>
      <c r="AE9" s="367"/>
      <c r="AF9" s="367"/>
      <c r="AG9" s="367"/>
      <c r="AH9" s="367"/>
      <c r="AI9" s="367"/>
      <c r="AJ9" s="367"/>
      <c r="AK9" s="1258" t="s">
        <v>489</v>
      </c>
      <c r="AM9" s="500"/>
      <c r="AN9" s="500" t="str">
        <f>IF(T9="","",T9)</f>
        <v>Добавить значение признака дифференциации</v>
      </c>
      <c r="AO9" s="500"/>
      <c r="AP9" s="500"/>
      <c r="AQ9" s="1155">
        <v>0</v>
      </c>
    </row>
    <row customHeight="1" ht="21" hidden="1">
      <c r="A10" s="1363"/>
      <c r="B10" s="1363"/>
      <c r="C10" s="1363"/>
      <c r="D10" s="1363"/>
      <c r="E10" s="2259"/>
      <c r="F10" s="2259"/>
      <c r="G10" s="2259"/>
      <c r="H10" s="2259"/>
      <c r="I10" s="2256"/>
      <c r="J10" s="1363"/>
      <c r="K10" s="1363"/>
      <c r="L10" s="1364"/>
      <c r="P10" s="2257"/>
      <c r="Q10" s="1450"/>
      <c r="R10" s="356"/>
      <c r="S10" s="1278"/>
      <c r="T10" s="365" t="s">
        <v>414</v>
      </c>
      <c r="U10" s="367"/>
      <c r="V10" s="367"/>
      <c r="W10" s="367"/>
      <c r="X10" s="367"/>
      <c r="Y10" s="367"/>
      <c r="Z10" s="367"/>
      <c r="AA10" s="367"/>
      <c r="AB10" s="366"/>
      <c r="AC10" s="367"/>
      <c r="AD10" s="367"/>
      <c r="AE10" s="367"/>
      <c r="AF10" s="367"/>
      <c r="AG10" s="367"/>
      <c r="AH10" s="367"/>
      <c r="AI10" s="366"/>
      <c r="AJ10" s="367"/>
      <c r="AK10" s="1440"/>
      <c r="AM10" s="500"/>
      <c r="AN10" s="500" t="str">
        <f>IF(T10="","",T10)</f>
        <v>Добавить группу потребителей</v>
      </c>
      <c r="AO10" s="500"/>
      <c r="AP10" s="500"/>
      <c r="AQ10" s="1155">
        <v>0</v>
      </c>
    </row>
    <row customHeight="1" ht="21" hidden="1">
      <c r="A11" s="1363"/>
      <c r="B11" s="1363"/>
      <c r="C11" s="1363"/>
      <c r="D11" s="1363"/>
      <c r="E11" s="2259"/>
      <c r="F11" s="2259"/>
      <c r="G11" s="2259"/>
      <c r="H11" s="2258"/>
      <c r="I11" s="1363"/>
      <c r="J11" s="1363"/>
      <c r="K11" s="1363"/>
      <c r="L11" s="1364"/>
      <c r="M11" s="1365"/>
      <c r="N11" s="1365"/>
      <c r="O11" s="537"/>
      <c r="P11" s="360"/>
      <c r="Q11" s="375"/>
      <c r="R11" s="355"/>
      <c r="S11" s="1278"/>
      <c r="T11" s="372" t="s">
        <v>490</v>
      </c>
      <c r="U11" s="367"/>
      <c r="V11" s="367"/>
      <c r="W11" s="367"/>
      <c r="X11" s="367"/>
      <c r="Y11" s="367"/>
      <c r="Z11" s="367"/>
      <c r="AA11" s="367"/>
      <c r="AB11" s="366"/>
      <c r="AC11" s="367"/>
      <c r="AD11" s="367"/>
      <c r="AE11" s="367"/>
      <c r="AF11" s="367"/>
      <c r="AG11" s="367"/>
      <c r="AH11" s="367"/>
      <c r="AI11" s="366"/>
      <c r="AJ11" s="367"/>
      <c r="AK11" s="303"/>
      <c r="AM11" s="500"/>
      <c r="AN11" s="500" t="str">
        <f>IF(T11="","",T11)</f>
        <v>Добавить наименование признака дифференциации</v>
      </c>
      <c r="AO11" s="500"/>
      <c r="AP11" s="500"/>
      <c r="AQ11" s="1155">
        <v>0</v>
      </c>
    </row>
    <row s="1642" customFormat="1" customHeight="1" ht="14.25" hidden="1">
      <c r="A12" s="1343"/>
      <c r="B12" s="1343"/>
      <c r="C12" s="1314"/>
      <c r="D12" s="1314"/>
      <c r="E12" s="2259"/>
      <c r="F12" s="2258"/>
      <c r="G12" s="1314"/>
      <c r="H12" s="1314"/>
      <c r="I12" s="1314"/>
      <c r="J12" s="1314"/>
      <c r="K12" s="1314"/>
      <c r="L12" s="1458"/>
      <c r="M12" s="1321"/>
      <c r="N12" s="1321"/>
      <c r="P12" s="1316"/>
      <c r="Q12" s="1317"/>
      <c r="R12" s="1316"/>
      <c r="S12" s="1322"/>
      <c r="T12" s="1325" t="s">
        <v>417</v>
      </c>
      <c r="U12" s="1324"/>
      <c r="V12" s="1324"/>
      <c r="W12" s="1324"/>
      <c r="X12" s="1324"/>
      <c r="Y12" s="1324"/>
      <c r="Z12" s="1324"/>
      <c r="AA12" s="1324"/>
      <c r="AB12" s="1324"/>
      <c r="AC12" s="1324"/>
      <c r="AD12" s="1324"/>
      <c r="AE12" s="1324"/>
      <c r="AF12" s="1324"/>
      <c r="AG12" s="1324"/>
      <c r="AH12" s="1324"/>
      <c r="AI12" s="1324"/>
      <c r="AJ12" s="1324"/>
      <c r="AK12" s="1324"/>
      <c r="AM12" s="789"/>
      <c r="AN12" s="789" t="str">
        <f>IF(T12="","",T12)</f>
        <v>Добавить централизованную систему для дифференциации</v>
      </c>
      <c r="AO12" s="789"/>
      <c r="AP12" s="789"/>
      <c r="AQ12" s="518">
        <v>0</v>
      </c>
    </row>
    <row s="1642" customFormat="1" customHeight="1" ht="14.25" hidden="1">
      <c r="A13" s="1343"/>
      <c r="B13" s="1343"/>
      <c r="C13" s="1343"/>
      <c r="D13" s="1343"/>
      <c r="E13" s="2258"/>
      <c r="F13" s="1343"/>
      <c r="G13" s="1343"/>
      <c r="H13" s="1343"/>
      <c r="I13" s="1343"/>
      <c r="J13" s="1343"/>
      <c r="K13" s="1343"/>
      <c r="L13" s="1346"/>
      <c r="M13" s="1321"/>
      <c r="N13" s="1321"/>
      <c r="O13" s="518"/>
      <c r="P13" s="380"/>
      <c r="Q13" s="1344"/>
      <c r="R13" s="380"/>
      <c r="S13" s="1322"/>
      <c r="T13" s="1325" t="s">
        <v>418</v>
      </c>
      <c r="U13" s="1324"/>
      <c r="V13" s="1324"/>
      <c r="W13" s="1324"/>
      <c r="X13" s="1324"/>
      <c r="Y13" s="1324"/>
      <c r="Z13" s="1324"/>
      <c r="AA13" s="1324"/>
      <c r="AB13" s="1324"/>
      <c r="AC13" s="1324"/>
      <c r="AD13" s="1324"/>
      <c r="AE13" s="1324"/>
      <c r="AF13" s="1324"/>
      <c r="AG13" s="1324"/>
      <c r="AH13" s="1324"/>
      <c r="AI13" s="1324"/>
      <c r="AJ13" s="1324"/>
      <c r="AK13" s="1324"/>
      <c r="AM13" s="500"/>
      <c r="AN13" s="500" t="str">
        <f>IF(T13="","",T13)</f>
        <v>Добавить территорию для дифференциации</v>
      </c>
      <c r="AO13" s="500"/>
      <c r="AP13" s="500"/>
      <c r="AQ13" s="511">
        <v>0</v>
      </c>
    </row>
    <row customHeight="1" ht="14.25" hidden="1">
      <c r="AB14" s="327"/>
      <c r="AI14" s="327"/>
      <c r="AQ14" s="1155">
        <v>0</v>
      </c>
    </row>
    <row customHeight="1" ht="14.25" hidden="1">
      <c r="AC15" s="1360"/>
      <c r="AD15" s="1360"/>
      <c r="AE15" s="1361"/>
      <c r="AF15" s="2267"/>
      <c r="AG15" s="2268" t="s">
        <v>66</v>
      </c>
      <c r="AH15" s="2267"/>
      <c r="AI15" s="2268" t="s">
        <v>66</v>
      </c>
      <c r="AQ15" s="1155">
        <v>0</v>
      </c>
    </row>
    <row customHeight="1" ht="14.25" hidden="1">
      <c r="AC16" s="1360"/>
      <c r="AD16" s="1360"/>
      <c r="AE16" s="328" t="str">
        <f>AF15&amp;"-"&amp;AH15</f>
        <v>-</v>
      </c>
      <c r="AF16" s="2268"/>
      <c r="AG16" s="2268"/>
      <c r="AH16" s="2268"/>
      <c r="AI16" s="2268"/>
      <c r="AQ16" s="1155">
        <v>0</v>
      </c>
    </row>
    <row customHeight="1" ht="14.25" hidden="1">
      <c r="AI17" s="327"/>
      <c r="AQ17" s="1155">
        <v>0</v>
      </c>
    </row>
    <row s="1366" customFormat="1" customHeight="1" ht="22.5" hidden="1">
      <c r="L18" s="1447"/>
      <c r="M18" s="1362"/>
      <c r="N18" s="1362"/>
      <c r="O18" s="1367" t="s">
        <v>419</v>
      </c>
      <c r="P18" s="1362"/>
      <c r="Q18" s="1371"/>
      <c r="R18" s="1371"/>
      <c r="S18" s="729"/>
      <c r="Y18" s="1367"/>
      <c r="AA18" s="1367"/>
      <c r="AB18" s="1366"/>
      <c r="AF18" s="1367"/>
      <c r="AH18" s="1367"/>
      <c r="AI18" s="1366"/>
      <c r="AL18" s="511"/>
      <c r="AM18" s="511"/>
      <c r="AN18" s="511"/>
      <c r="AO18" s="511"/>
      <c r="AP18" s="511"/>
      <c r="AQ18" s="1160">
        <v>0</v>
      </c>
    </row>
    <row s="1366" customFormat="1" customHeight="1" ht="14.25" hidden="1">
      <c r="L19" s="1447"/>
      <c r="M19" s="1362"/>
      <c r="N19" s="1362"/>
      <c r="O19" s="1362"/>
      <c r="P19" s="1362"/>
      <c r="Q19" s="1371"/>
      <c r="R19" s="1371"/>
      <c r="S19" s="729"/>
      <c r="AB19" s="1366"/>
      <c r="AI19" s="1366"/>
      <c r="AL19" s="511"/>
      <c r="AM19" s="511"/>
      <c r="AN19" s="511"/>
      <c r="AO19" s="511"/>
      <c r="AP19" s="511"/>
      <c r="AQ19" s="1160">
        <v>0</v>
      </c>
    </row>
    <row s="1366" customFormat="1" customHeight="1" ht="12" hidden="1">
      <c r="L20" s="1447"/>
      <c r="M20" s="1362"/>
      <c r="N20" s="1362"/>
      <c r="O20" s="1364" t="s">
        <v>420</v>
      </c>
      <c r="P20" s="1362"/>
      <c r="Q20" s="1442"/>
      <c r="R20" s="1442"/>
      <c r="S20" s="729"/>
      <c r="T20" s="1160" t="s">
        <v>421</v>
      </c>
      <c r="Z20" s="186" t="s">
        <v>422</v>
      </c>
      <c r="AB20" s="186" t="s">
        <v>423</v>
      </c>
      <c r="AC20" s="1160" t="s">
        <v>421</v>
      </c>
      <c r="AG20" s="186" t="s">
        <v>424</v>
      </c>
      <c r="AI20" s="186" t="s">
        <v>423</v>
      </c>
      <c r="AQ20" s="1160">
        <v>0</v>
      </c>
    </row>
    <row customHeight="1" ht="14.25" hidden="1">
      <c r="O21" s="1364"/>
      <c r="AQ21" s="1155">
        <v>0</v>
      </c>
    </row>
    <row customHeight="1" ht="14.25" hidden="1">
      <c r="O22" s="1364"/>
      <c r="AQ22" s="1155">
        <v>0</v>
      </c>
    </row>
    <row customHeight="1" ht="14.699999999999998">
      <c r="Q23" s="376"/>
      <c r="R23" s="376"/>
      <c r="S23" s="1275"/>
      <c r="T23" s="363"/>
      <c r="U23" s="363"/>
      <c r="V23" s="509"/>
      <c r="W23" s="509"/>
      <c r="X23" s="509"/>
      <c r="Y23" s="509"/>
      <c r="Z23" s="509"/>
      <c r="AA23" s="509"/>
      <c r="AB23" s="509"/>
      <c r="AC23" s="509"/>
      <c r="AD23" s="509"/>
      <c r="AE23" s="509"/>
      <c r="AF23" s="509"/>
      <c r="AG23" s="509"/>
      <c r="AH23" s="509"/>
      <c r="AI23" s="509"/>
      <c r="AQ23" s="1155">
        <v>14</v>
      </c>
    </row>
    <row customHeight="1" ht="14.699999999999998">
      <c r="Q24" s="376"/>
      <c r="R24" s="376"/>
      <c r="S24" s="2248" t="str">
        <f>IF(TEMPLATE_GROUP="P",PT_P_FORM_COLDVSNA_4_NAME_FORM,PT_R_FORM_COLDVSNA_16_NAME_FORM)</f>
        <v>Форма 13. Информация о предложении организации холодного водоснабжения об установлении расчетной величины тарифов в сфере холодного водоснабжения</v>
      </c>
      <c r="T24" s="2248"/>
      <c r="U24" s="2248"/>
      <c r="V24" s="2248"/>
      <c r="W24" s="2248"/>
      <c r="X24" s="2248"/>
      <c r="Y24" s="2248"/>
      <c r="Z24" s="2248"/>
      <c r="AA24" s="2248"/>
      <c r="AB24" s="2248"/>
      <c r="AC24" s="2248"/>
      <c r="AD24" s="2248"/>
      <c r="AE24" s="2248"/>
      <c r="AF24" s="2248"/>
      <c r="AG24" s="2248"/>
      <c r="AH24" s="2248"/>
      <c r="AI24" s="1243"/>
      <c r="AQ24" s="1155">
        <v>14</v>
      </c>
    </row>
    <row customHeight="1" ht="14.699999999999998">
      <c r="Q25" s="376"/>
      <c r="R25" s="376"/>
      <c r="S25" s="2249" t="str">
        <f>IF(org=0,"Не определено",org)</f>
        <v>ПАО "ОГК-2"</v>
      </c>
      <c r="T25" s="2249"/>
      <c r="U25" s="2249"/>
      <c r="V25" s="2249"/>
      <c r="W25" s="2249"/>
      <c r="X25" s="2249"/>
      <c r="Y25" s="2249"/>
      <c r="Z25" s="2249"/>
      <c r="AA25" s="2249"/>
      <c r="AB25" s="2249"/>
      <c r="AC25" s="2249"/>
      <c r="AD25" s="2249"/>
      <c r="AE25" s="2249"/>
      <c r="AF25" s="2249"/>
      <c r="AG25" s="2249"/>
      <c r="AH25" s="2249"/>
      <c r="AI25" s="1243"/>
      <c r="AQ25" s="1155">
        <v>14</v>
      </c>
    </row>
    <row customHeight="1" ht="14.25" hidden="1">
      <c r="Q26" s="376"/>
      <c r="R26" s="376"/>
      <c r="S26" s="1275"/>
      <c r="T26" s="363"/>
      <c r="U26" s="363"/>
      <c r="V26" s="322"/>
      <c r="W26" s="322"/>
      <c r="X26" s="322"/>
      <c r="Y26" s="322"/>
      <c r="Z26" s="322"/>
      <c r="AA26" s="322"/>
      <c r="AB26" s="322"/>
      <c r="AC26" s="322"/>
      <c r="AD26" s="322"/>
      <c r="AE26" s="322"/>
      <c r="AF26" s="322"/>
      <c r="AG26" s="322"/>
      <c r="AH26" s="322"/>
      <c r="AI26" s="322"/>
      <c r="AJ26" s="509"/>
      <c r="AQ26" s="1155">
        <v>0</v>
      </c>
    </row>
    <row s="1853" customFormat="1" customHeight="1" ht="25.5" hidden="1">
      <c r="A27" s="1368"/>
      <c r="B27" s="1368"/>
      <c r="C27" s="1368"/>
      <c r="D27" s="1368"/>
      <c r="E27" s="1368"/>
      <c r="F27" s="1368"/>
      <c r="G27" s="1368"/>
      <c r="H27" s="1368"/>
      <c r="I27" s="1368"/>
      <c r="J27" s="1368"/>
      <c r="K27" s="1368"/>
      <c r="L27" s="1369"/>
      <c r="M27" s="1368"/>
      <c r="N27" s="1368"/>
      <c r="O27" s="1368"/>
      <c r="S27" s="2250" t="s">
        <v>42</v>
      </c>
      <c r="T27" s="2250"/>
      <c r="U27" s="1372"/>
      <c r="V27" s="2251" t="str">
        <f>IF(TITLE_NAME_OR_PR_CHANGE="",IF(TITLE_NAME_OR_PR="","",TITLE_NAME_OR_PR),TITLE_NAME_OR_PR_CHANGE)</f>
        <v/>
      </c>
      <c r="W27" s="2251"/>
      <c r="X27" s="2251"/>
      <c r="Y27" s="2251"/>
      <c r="Z27" s="2251"/>
      <c r="AA27" s="2251"/>
      <c r="AB27" s="326"/>
      <c r="AC27" s="2251" t="str">
        <f>IF(TITLE_NAME_OR_PR_CHANGE="",IF(TITLE_NAME_OR_PR="","",TITLE_NAME_OR_PR),TITLE_NAME_OR_PR_CHANGE)</f>
        <v/>
      </c>
      <c r="AD27" s="2251"/>
      <c r="AE27" s="2251"/>
      <c r="AF27" s="2251"/>
      <c r="AG27" s="2251"/>
      <c r="AH27" s="2251"/>
      <c r="AI27" s="326"/>
      <c r="AJ27" s="326"/>
      <c r="AK27" s="280"/>
      <c r="AL27" s="368"/>
      <c r="AM27" s="368"/>
      <c r="AN27" s="368"/>
      <c r="AO27" s="368"/>
      <c r="AP27" s="368"/>
      <c r="AQ27" s="418">
        <v>0</v>
      </c>
    </row>
    <row s="1853" customFormat="1" customHeight="1" ht="18.75" hidden="1">
      <c r="A28" s="1368"/>
      <c r="B28" s="1368"/>
      <c r="C28" s="1368"/>
      <c r="D28" s="1368"/>
      <c r="E28" s="1368"/>
      <c r="F28" s="1368"/>
      <c r="G28" s="1368"/>
      <c r="H28" s="1368"/>
      <c r="I28" s="1368"/>
      <c r="J28" s="1368"/>
      <c r="K28" s="1368"/>
      <c r="L28" s="1369"/>
      <c r="M28" s="1368"/>
      <c r="N28" s="1368"/>
      <c r="O28" s="1368"/>
      <c r="S28" s="2250" t="s">
        <v>425</v>
      </c>
      <c r="T28" s="2250"/>
      <c r="U28" s="1372"/>
      <c r="V28" s="2264" t="str">
        <f>IF(TITLE_DATE_PR_CHANGE="",IF(TITLE_DATE_PR="","",TITLE_DATE_PR),TITLE_DATE_PR_CHANGE)</f>
        <v/>
      </c>
      <c r="W28" s="2264"/>
      <c r="X28" s="2264"/>
      <c r="Y28" s="2264"/>
      <c r="Z28" s="2264"/>
      <c r="AA28" s="2264"/>
      <c r="AB28" s="326"/>
      <c r="AC28" s="2264" t="str">
        <f>IF(TITLE_DATE_PR_CHANGE="",IF(TITLE_DATE_PR="","",TITLE_DATE_PR),TITLE_DATE_PR_CHANGE)</f>
        <v/>
      </c>
      <c r="AD28" s="2264"/>
      <c r="AE28" s="2264"/>
      <c r="AF28" s="2264"/>
      <c r="AG28" s="2264"/>
      <c r="AH28" s="2264"/>
      <c r="AI28" s="326"/>
      <c r="AJ28" s="326"/>
      <c r="AK28" s="280"/>
      <c r="AL28" s="368"/>
      <c r="AM28" s="368"/>
      <c r="AN28" s="368"/>
      <c r="AO28" s="368"/>
      <c r="AP28" s="368"/>
      <c r="AQ28" s="418">
        <v>0</v>
      </c>
    </row>
    <row s="1853" customFormat="1" customHeight="1" ht="18.75" hidden="1">
      <c r="A29" s="1368"/>
      <c r="B29" s="1368"/>
      <c r="C29" s="1368"/>
      <c r="D29" s="1368"/>
      <c r="E29" s="1368"/>
      <c r="F29" s="1368"/>
      <c r="G29" s="1368"/>
      <c r="H29" s="1368"/>
      <c r="I29" s="1368"/>
      <c r="J29" s="1368"/>
      <c r="K29" s="1368"/>
      <c r="L29" s="1369"/>
      <c r="M29" s="1368"/>
      <c r="N29" s="1368"/>
      <c r="O29" s="1368"/>
      <c r="S29" s="2250" t="s">
        <v>426</v>
      </c>
      <c r="T29" s="2250"/>
      <c r="U29" s="1372"/>
      <c r="V29" s="2251" t="str">
        <f>IF(TITLE_NUMBER_PR_CHANGE="",IF(TITLE_NUMBER_PR="","",TITLE_NUMBER_PR),TITLE_NUMBER_PR_CHANGE)</f>
        <v/>
      </c>
      <c r="W29" s="2251"/>
      <c r="X29" s="2251"/>
      <c r="Y29" s="2251"/>
      <c r="Z29" s="2251"/>
      <c r="AA29" s="2251"/>
      <c r="AB29" s="326"/>
      <c r="AC29" s="2251" t="str">
        <f>IF(TITLE_NUMBER_PR_CHANGE="",IF(TITLE_NUMBER_PR="","",TITLE_NUMBER_PR),TITLE_NUMBER_PR_CHANGE)</f>
        <v/>
      </c>
      <c r="AD29" s="2251"/>
      <c r="AE29" s="2251"/>
      <c r="AF29" s="2251"/>
      <c r="AG29" s="2251"/>
      <c r="AH29" s="2251"/>
      <c r="AI29" s="326"/>
      <c r="AJ29" s="326"/>
      <c r="AK29" s="280"/>
      <c r="AL29" s="368"/>
      <c r="AM29" s="368"/>
      <c r="AN29" s="368"/>
      <c r="AO29" s="368"/>
      <c r="AP29" s="368"/>
      <c r="AQ29" s="418">
        <v>0</v>
      </c>
    </row>
    <row s="1853" customFormat="1" customHeight="1" ht="18.75" hidden="1">
      <c r="A30" s="1368"/>
      <c r="B30" s="1368"/>
      <c r="C30" s="1368"/>
      <c r="D30" s="1368"/>
      <c r="E30" s="1368"/>
      <c r="F30" s="1368"/>
      <c r="G30" s="1368"/>
      <c r="H30" s="1368"/>
      <c r="I30" s="1368"/>
      <c r="J30" s="1368"/>
      <c r="K30" s="1368"/>
      <c r="L30" s="1369"/>
      <c r="M30" s="1368"/>
      <c r="N30" s="1368"/>
      <c r="O30" s="1368"/>
      <c r="S30" s="2250" t="s">
        <v>43</v>
      </c>
      <c r="T30" s="2250"/>
      <c r="U30" s="1372"/>
      <c r="V30" s="2251" t="str">
        <f>IF(TITLE_IST_PUB_CHANGE="",IF(TITLE_IST_PUB="","",TITLE_IST_PUB),TITLE_IST_PUB_CHANGE)</f>
        <v/>
      </c>
      <c r="W30" s="2251"/>
      <c r="X30" s="2251"/>
      <c r="Y30" s="2251"/>
      <c r="Z30" s="2251"/>
      <c r="AA30" s="2251"/>
      <c r="AB30" s="326"/>
      <c r="AC30" s="2251" t="str">
        <f>IF(TITLE_IST_PUB_CHANGE="",IF(TITLE_IST_PUB="","",TITLE_IST_PUB),TITLE_IST_PUB_CHANGE)</f>
        <v/>
      </c>
      <c r="AD30" s="2251"/>
      <c r="AE30" s="2251"/>
      <c r="AF30" s="2251"/>
      <c r="AG30" s="2251"/>
      <c r="AH30" s="2251"/>
      <c r="AI30" s="326"/>
      <c r="AJ30" s="326"/>
      <c r="AK30" s="280"/>
      <c r="AL30" s="368"/>
      <c r="AM30" s="368"/>
      <c r="AN30" s="368"/>
      <c r="AO30" s="368"/>
      <c r="AP30" s="368"/>
      <c r="AQ30" s="418">
        <v>0</v>
      </c>
    </row>
    <row customHeight="1" ht="14.25" hidden="1">
      <c r="Q31" s="376"/>
      <c r="R31" s="376"/>
      <c r="S31" s="1275"/>
      <c r="T31" s="363"/>
      <c r="U31" s="363"/>
      <c r="V31" s="322"/>
      <c r="W31" s="322"/>
      <c r="X31" s="322"/>
      <c r="Y31" s="322"/>
      <c r="Z31" s="322"/>
      <c r="AA31" s="322"/>
      <c r="AB31" s="322"/>
      <c r="AC31" s="322"/>
      <c r="AD31" s="322"/>
      <c r="AE31" s="322"/>
      <c r="AF31" s="322"/>
      <c r="AG31" s="322"/>
      <c r="AH31" s="322"/>
      <c r="AI31" s="322"/>
      <c r="AJ31" s="509"/>
      <c r="AQ31" s="1155">
        <v>0</v>
      </c>
    </row>
    <row s="1853" customFormat="1" customHeight="1" ht="18.75" hidden="1">
      <c r="A32" s="1368"/>
      <c r="B32" s="1368"/>
      <c r="C32" s="1368"/>
      <c r="D32" s="1368"/>
      <c r="E32" s="1368"/>
      <c r="F32" s="1368"/>
      <c r="G32" s="1368"/>
      <c r="H32" s="1368"/>
      <c r="I32" s="1368"/>
      <c r="J32" s="1368"/>
      <c r="K32" s="1368"/>
      <c r="L32" s="1369"/>
      <c r="M32" s="1368"/>
      <c r="N32" s="1368"/>
      <c r="O32" s="1368"/>
      <c r="S32" s="2250" t="s">
        <v>427</v>
      </c>
      <c r="T32" s="2250"/>
      <c r="U32" s="1372"/>
      <c r="V32" s="2264" t="str">
        <f>IF(TITLE_DATE_PR_CHANGE="",IF(TITLE_DATE_PR="","",TITLE_DATE_PR),TITLE_DATE_PR_CHANGE)</f>
        <v/>
      </c>
      <c r="W32" s="2264"/>
      <c r="X32" s="2264"/>
      <c r="Y32" s="2264"/>
      <c r="Z32" s="2264"/>
      <c r="AA32" s="2264"/>
      <c r="AB32" s="326"/>
      <c r="AC32" s="2264" t="str">
        <f>IF(TITLE_DATE_PR_CHANGE="",IF(TITLE_DATE_PR="","",TITLE_DATE_PR),TITLE_DATE_PR_CHANGE)</f>
        <v/>
      </c>
      <c r="AD32" s="2264"/>
      <c r="AE32" s="2264"/>
      <c r="AF32" s="2264"/>
      <c r="AG32" s="2264"/>
      <c r="AH32" s="2264"/>
      <c r="AI32" s="326"/>
      <c r="AJ32" s="326"/>
      <c r="AK32" s="280"/>
      <c r="AL32" s="368"/>
      <c r="AM32" s="368"/>
      <c r="AN32" s="368"/>
      <c r="AO32" s="368"/>
      <c r="AP32" s="368"/>
      <c r="AQ32" s="418">
        <v>0</v>
      </c>
    </row>
    <row s="1853" customFormat="1" customHeight="1" ht="18.75" hidden="1">
      <c r="A33" s="1368"/>
      <c r="B33" s="1368"/>
      <c r="C33" s="1368"/>
      <c r="D33" s="1368"/>
      <c r="E33" s="1368"/>
      <c r="F33" s="1368"/>
      <c r="G33" s="1368"/>
      <c r="H33" s="1368"/>
      <c r="I33" s="1368"/>
      <c r="J33" s="1368"/>
      <c r="K33" s="1368"/>
      <c r="L33" s="1369"/>
      <c r="M33" s="1368"/>
      <c r="N33" s="1368"/>
      <c r="O33" s="1368"/>
      <c r="S33" s="2250" t="s">
        <v>428</v>
      </c>
      <c r="T33" s="2250"/>
      <c r="U33" s="1372"/>
      <c r="V33" s="2251" t="str">
        <f>IF(TITLE_NUMBER_PR_CHANGE="",IF(TITLE_NUMBER_PR="","",TITLE_NUMBER_PR),TITLE_NUMBER_PR_CHANGE)</f>
        <v/>
      </c>
      <c r="W33" s="2251"/>
      <c r="X33" s="2251"/>
      <c r="Y33" s="2251"/>
      <c r="Z33" s="2251"/>
      <c r="AA33" s="2251"/>
      <c r="AB33" s="326"/>
      <c r="AC33" s="2251" t="str">
        <f>IF(TITLE_NUMBER_PR_CHANGE="",IF(TITLE_NUMBER_PR="","",TITLE_NUMBER_PR),TITLE_NUMBER_PR_CHANGE)</f>
        <v/>
      </c>
      <c r="AD33" s="2251"/>
      <c r="AE33" s="2251"/>
      <c r="AF33" s="2251"/>
      <c r="AG33" s="2251"/>
      <c r="AH33" s="2251"/>
      <c r="AI33" s="326"/>
      <c r="AJ33" s="326"/>
      <c r="AK33" s="280"/>
      <c r="AL33" s="368"/>
      <c r="AM33" s="368"/>
      <c r="AN33" s="368"/>
      <c r="AO33" s="368"/>
      <c r="AP33" s="368"/>
      <c r="AQ33" s="418">
        <v>0</v>
      </c>
    </row>
    <row s="1853" customFormat="1" customHeight="1" ht="1.05">
      <c r="A34" s="1368"/>
      <c r="B34" s="1368"/>
      <c r="C34" s="1368"/>
      <c r="D34" s="1368"/>
      <c r="E34" s="1368"/>
      <c r="F34" s="1368"/>
      <c r="G34" s="1368"/>
      <c r="H34" s="1368"/>
      <c r="I34" s="1368"/>
      <c r="J34" s="1368"/>
      <c r="K34" s="1368"/>
      <c r="L34" s="1369"/>
      <c r="M34" s="1368"/>
      <c r="N34" s="1368"/>
      <c r="O34" s="1368"/>
      <c r="S34" s="323"/>
      <c r="T34" s="323"/>
      <c r="U34" s="1454"/>
      <c r="V34" s="326"/>
      <c r="W34" s="326"/>
      <c r="X34" s="326"/>
      <c r="Y34" s="326"/>
      <c r="Z34" s="326"/>
      <c r="AA34" s="326"/>
      <c r="AB34" s="278" t="s">
        <v>429</v>
      </c>
      <c r="AC34" s="326"/>
      <c r="AD34" s="326"/>
      <c r="AE34" s="326"/>
      <c r="AF34" s="326"/>
      <c r="AG34" s="326"/>
      <c r="AH34" s="326"/>
      <c r="AI34" s="278" t="s">
        <v>429</v>
      </c>
      <c r="AL34" s="368"/>
      <c r="AM34" s="368"/>
      <c r="AN34" s="368"/>
      <c r="AO34" s="368"/>
      <c r="AP34" s="368"/>
      <c r="AQ34" s="418">
        <v>1</v>
      </c>
    </row>
    <row customHeight="1" ht="14.699999999999998">
      <c r="Q35" s="376"/>
      <c r="R35" s="376"/>
      <c r="S35" s="1275"/>
      <c r="T35" s="363"/>
      <c r="U35" s="1244"/>
      <c r="V35" s="2252"/>
      <c r="W35" s="2252"/>
      <c r="X35" s="2252"/>
      <c r="Y35" s="2252"/>
      <c r="Z35" s="2252"/>
      <c r="AA35" s="2252"/>
      <c r="AB35" s="2252"/>
      <c r="AC35" s="2252"/>
      <c r="AD35" s="2252"/>
      <c r="AE35" s="2252"/>
      <c r="AF35" s="2252"/>
      <c r="AG35" s="2252"/>
      <c r="AH35" s="2252"/>
      <c r="AI35" s="2252"/>
      <c r="AQ35" s="1155">
        <v>14</v>
      </c>
    </row>
    <row customHeight="1" ht="14.699999999999998">
      <c r="Q36" s="376"/>
      <c r="R36" s="376"/>
      <c r="S36" s="2127" t="s">
        <v>302</v>
      </c>
      <c r="T36" s="2127"/>
      <c r="U36" s="2127"/>
      <c r="V36" s="2127"/>
      <c r="W36" s="2127"/>
      <c r="X36" s="2127"/>
      <c r="Y36" s="2127"/>
      <c r="Z36" s="2127"/>
      <c r="AA36" s="2127"/>
      <c r="AB36" s="2127"/>
      <c r="AC36" s="2127"/>
      <c r="AD36" s="2127"/>
      <c r="AE36" s="2127"/>
      <c r="AF36" s="2127"/>
      <c r="AG36" s="2127"/>
      <c r="AH36" s="2127"/>
      <c r="AI36" s="2127"/>
      <c r="AJ36" s="2127"/>
      <c r="AK36" s="2127" t="s">
        <v>303</v>
      </c>
      <c r="AQ36" s="1155">
        <v>14</v>
      </c>
    </row>
    <row customHeight="1" ht="14.699999999999998">
      <c r="Q37" s="376"/>
      <c r="R37" s="376"/>
      <c r="S37" s="2273" t="s">
        <v>88</v>
      </c>
      <c r="T37" s="2209" t="s">
        <v>430</v>
      </c>
      <c r="U37" s="301"/>
      <c r="V37" s="2274" t="s">
        <v>431</v>
      </c>
      <c r="W37" s="2275"/>
      <c r="X37" s="2275"/>
      <c r="Y37" s="2275"/>
      <c r="Z37" s="2275"/>
      <c r="AA37" s="2276"/>
      <c r="AB37" s="2277" t="s">
        <v>432</v>
      </c>
      <c r="AC37" s="2274" t="s">
        <v>431</v>
      </c>
      <c r="AD37" s="2275"/>
      <c r="AE37" s="2275"/>
      <c r="AF37" s="2275"/>
      <c r="AG37" s="2275"/>
      <c r="AH37" s="2276"/>
      <c r="AI37" s="2277" t="s">
        <v>433</v>
      </c>
      <c r="AJ37" s="2280" t="s">
        <v>434</v>
      </c>
      <c r="AK37" s="2127"/>
      <c r="AQ37" s="1155">
        <v>14</v>
      </c>
    </row>
    <row customHeight="1" ht="35.699999999999996">
      <c r="Q38" s="376"/>
      <c r="R38" s="376"/>
      <c r="S38" s="2273"/>
      <c r="T38" s="2209"/>
      <c r="U38" s="1031"/>
      <c r="V38" s="1452" t="s">
        <v>491</v>
      </c>
      <c r="W38" s="2262" t="s">
        <v>437</v>
      </c>
      <c r="X38" s="2263"/>
      <c r="Y38" s="2262" t="s">
        <v>438</v>
      </c>
      <c r="Z38" s="2269"/>
      <c r="AA38" s="2263"/>
      <c r="AB38" s="2278"/>
      <c r="AC38" s="1452" t="s">
        <v>491</v>
      </c>
      <c r="AD38" s="2262" t="s">
        <v>437</v>
      </c>
      <c r="AE38" s="2263"/>
      <c r="AF38" s="2262" t="s">
        <v>438</v>
      </c>
      <c r="AG38" s="2269"/>
      <c r="AH38" s="2263"/>
      <c r="AI38" s="2278"/>
      <c r="AJ38" s="2281"/>
      <c r="AK38" s="2127"/>
      <c r="AQ38" s="1155">
        <v>34</v>
      </c>
    </row>
    <row customHeight="1" ht="35.699999999999996">
      <c r="A39" s="1370"/>
      <c r="B39" s="1370" t="s">
        <v>139</v>
      </c>
      <c r="C39" s="1370" t="s">
        <v>140</v>
      </c>
      <c r="D39" s="1370" t="s">
        <v>141</v>
      </c>
      <c r="E39" s="1364" t="s">
        <v>439</v>
      </c>
      <c r="F39" s="1364" t="s">
        <v>440</v>
      </c>
      <c r="G39" s="1364" t="s">
        <v>441</v>
      </c>
      <c r="H39" s="1364"/>
      <c r="I39" s="1364" t="s">
        <v>492</v>
      </c>
      <c r="J39" s="1364" t="s">
        <v>444</v>
      </c>
      <c r="K39" s="1364" t="s">
        <v>493</v>
      </c>
      <c r="L39" s="1364" t="s">
        <v>420</v>
      </c>
      <c r="Q39" s="376"/>
      <c r="R39" s="376"/>
      <c r="S39" s="2273"/>
      <c r="T39" s="2209"/>
      <c r="U39" s="302"/>
      <c r="V39" s="1452" t="s">
        <v>494</v>
      </c>
      <c r="W39" s="1222" t="s">
        <v>495</v>
      </c>
      <c r="X39" s="1222" t="s">
        <v>496</v>
      </c>
      <c r="Y39" s="1455" t="s">
        <v>448</v>
      </c>
      <c r="Z39" s="2270" t="s">
        <v>449</v>
      </c>
      <c r="AA39" s="2271"/>
      <c r="AB39" s="2279"/>
      <c r="AC39" s="1452" t="s">
        <v>494</v>
      </c>
      <c r="AD39" s="1222" t="s">
        <v>495</v>
      </c>
      <c r="AE39" s="1222" t="s">
        <v>496</v>
      </c>
      <c r="AF39" s="1455" t="s">
        <v>448</v>
      </c>
      <c r="AG39" s="2270" t="s">
        <v>449</v>
      </c>
      <c r="AH39" s="2271"/>
      <c r="AI39" s="2279"/>
      <c r="AJ39" s="2282"/>
      <c r="AK39" s="2127"/>
      <c r="AQ39" s="1155">
        <v>34</v>
      </c>
    </row>
    <row s="1641" customFormat="1" customHeight="1" ht="0">
      <c r="A40" s="1370"/>
      <c r="B40" s="1370"/>
      <c r="C40" s="1370"/>
      <c r="D40" s="1370"/>
      <c r="E40" s="1370"/>
      <c r="F40" s="1370"/>
      <c r="G40" s="1370"/>
      <c r="H40" s="1370"/>
      <c r="I40" s="1370"/>
      <c r="J40" s="1370"/>
      <c r="K40" s="1370"/>
      <c r="L40" s="1364"/>
      <c r="M40" s="1362"/>
      <c r="N40" s="1362"/>
      <c r="O40" s="1362"/>
      <c r="P40" s="1246"/>
      <c r="Q40" s="1247"/>
      <c r="R40" s="1254">
        <v>1</v>
      </c>
      <c r="S40" s="1277" t="s">
        <v>109</v>
      </c>
      <c r="T40" s="1255" t="s">
        <v>110</v>
      </c>
      <c r="U40" s="1245" t="str">
        <f>OFFSET(U40,0,-1)</f>
        <v>2</v>
      </c>
      <c r="V40" s="1451">
        <f>OFFSET(V40,0,-1)+1</f>
        <v>3</v>
      </c>
      <c r="W40" s="1451">
        <f>OFFSET(W40,0,-1)+1</f>
        <v>4</v>
      </c>
      <c r="X40" s="1451">
        <f>OFFSET(X40,0,-1)+1</f>
        <v>5</v>
      </c>
      <c r="Y40" s="1451">
        <f>OFFSET(Y40,0,-1)+1</f>
        <v>6</v>
      </c>
      <c r="Z40" s="2272">
        <f>OFFSET(Z40,0,-1)+1</f>
        <v>7</v>
      </c>
      <c r="AA40" s="2272"/>
      <c r="AB40" s="1451">
        <f>OFFSET(AB40,0,-2)+1</f>
        <v>8</v>
      </c>
      <c r="AC40" s="1451">
        <f>OFFSET(AC40,0,-1)+1</f>
        <v>9</v>
      </c>
      <c r="AD40" s="1451">
        <f>OFFSET(AD40,0,-1)+1</f>
        <v>10</v>
      </c>
      <c r="AE40" s="1451">
        <f>OFFSET(AE40,0,-1)+1</f>
        <v>11</v>
      </c>
      <c r="AF40" s="1451">
        <f>OFFSET(AF40,0,-1)+1</f>
        <v>12</v>
      </c>
      <c r="AG40" s="2272">
        <f>OFFSET(AG40,0,-1)+1</f>
        <v>13</v>
      </c>
      <c r="AH40" s="2272"/>
      <c r="AI40" s="1451">
        <f>OFFSET(AI40,0,-2)+1</f>
        <v>14</v>
      </c>
      <c r="AJ40" s="1245">
        <f>OFFSET(AJ40,0,-1)</f>
        <v>14</v>
      </c>
      <c r="AK40" s="1451">
        <f>OFFSET(AK40,0,-1)+1</f>
        <v>15</v>
      </c>
      <c r="AL40" s="511"/>
      <c r="AM40" s="511"/>
      <c r="AN40" s="511"/>
      <c r="AO40" s="511"/>
      <c r="AP40" s="511"/>
      <c r="AQ40" s="496">
        <v>0</v>
      </c>
    </row>
    <row customHeight="1" ht="24">
      <c r="A41" s="1363" t="s">
        <v>238</v>
      </c>
      <c r="B41" s="1363"/>
      <c r="C41" s="1363"/>
      <c r="D41" s="1363"/>
      <c r="E41" s="2258">
        <v>1</v>
      </c>
      <c r="F41" s="1363"/>
      <c r="G41" s="1363"/>
      <c r="H41" s="1363"/>
      <c r="I41" s="1363"/>
      <c r="J41" s="1363"/>
      <c r="K41" s="1363"/>
      <c r="L41" s="1364"/>
      <c r="M41" s="1365"/>
      <c r="N41" s="1365"/>
      <c r="O41" s="1365"/>
      <c r="P41" s="361"/>
      <c r="Q41" s="360"/>
      <c r="R41" s="355"/>
      <c r="S41" s="1457">
        <f>INDEX(PT_DIFFERENTIATION_NUM_NTAR,MATCH(A41,PT_DIFFERENTIATION_NTAR_ID,0))</f>
        <v>0</v>
      </c>
      <c r="T41" s="298" t="s">
        <v>127</v>
      </c>
      <c r="U41" s="300"/>
      <c r="V41" s="2242"/>
      <c r="W41" s="2243"/>
      <c r="X41" s="2243"/>
      <c r="Y41" s="2243"/>
      <c r="Z41" s="2243"/>
      <c r="AA41" s="2243"/>
      <c r="AB41" s="2244"/>
      <c r="AC41" s="2242" t="str">
        <f>INDEX(PT_DIFFERENTIATION_NTAR,MATCH(A41,PT_DIFFERENTIATION_NTAR_ID,0))</f>
        <v/>
      </c>
      <c r="AD41" s="2243"/>
      <c r="AE41" s="2243"/>
      <c r="AF41" s="2243"/>
      <c r="AG41" s="2243"/>
      <c r="AH41" s="2243"/>
      <c r="AI41" s="2243"/>
      <c r="AJ41" s="2244"/>
      <c r="AK41"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00"/>
      <c r="AN41" s="500" t="str">
        <f>IF(T41="","",T41)</f>
        <v>Наименование тарифа</v>
      </c>
      <c r="AO41" s="500"/>
      <c r="AP41" s="500"/>
      <c r="AQ41" s="1155">
        <v>23</v>
      </c>
    </row>
    <row customHeight="1" ht="24">
      <c r="A42" s="1363" t="s">
        <v>238</v>
      </c>
      <c r="B42" s="1363" t="s">
        <v>239</v>
      </c>
      <c r="C42" s="1363"/>
      <c r="D42" s="1363"/>
      <c r="E42" s="2259"/>
      <c r="F42" s="2258">
        <v>1</v>
      </c>
      <c r="G42" s="1363"/>
      <c r="H42" s="1363"/>
      <c r="I42" s="1363"/>
      <c r="J42" s="1363"/>
      <c r="K42" s="1363"/>
      <c r="L42" s="1364"/>
      <c r="M42" s="1365"/>
      <c r="N42" s="1365"/>
      <c r="O42" s="1365"/>
      <c r="P42" s="1453"/>
      <c r="Q42" s="352"/>
      <c r="R42" s="353"/>
      <c r="S42" s="1457" t="str">
        <f>INDEX(PT_DIFFERENTIATION_NUM_TER,MATCH(B42,PT_DIFFERENTIATION_TER_ID,0))</f>
        <v>.</v>
      </c>
      <c r="T42" s="308" t="s">
        <v>399</v>
      </c>
      <c r="U42" s="300"/>
      <c r="V42" s="2242"/>
      <c r="W42" s="2243"/>
      <c r="X42" s="2243"/>
      <c r="Y42" s="2243"/>
      <c r="Z42" s="2243"/>
      <c r="AA42" s="2243"/>
      <c r="AB42" s="2244"/>
      <c r="AC42" s="2242" t="str">
        <f>INDEX(PT_DIFFERENTIATION_TER,MATCH(B42,PT_DIFFERENTIATION_TER_ID,0))</f>
        <v/>
      </c>
      <c r="AD42" s="2243"/>
      <c r="AE42" s="2243"/>
      <c r="AF42" s="2243"/>
      <c r="AG42" s="2243"/>
      <c r="AH42" s="2243"/>
      <c r="AI42" s="2243"/>
      <c r="AJ42" s="2244"/>
      <c r="AK42" s="1258" t="s">
        <v>400</v>
      </c>
      <c r="AM42" s="500"/>
      <c r="AN42" s="500" t="str">
        <f>IF(T42="","",T42)</f>
        <v>Территория действия тарифа</v>
      </c>
      <c r="AO42" s="500"/>
      <c r="AP42" s="500"/>
      <c r="AQ42" s="1155">
        <v>23</v>
      </c>
    </row>
    <row customHeight="1" ht="24">
      <c r="A43" s="1363" t="s">
        <v>238</v>
      </c>
      <c r="B43" s="1363" t="s">
        <v>239</v>
      </c>
      <c r="C43" s="1363" t="s">
        <v>240</v>
      </c>
      <c r="D43" s="1363"/>
      <c r="E43" s="2259"/>
      <c r="F43" s="2259"/>
      <c r="G43" s="2258">
        <v>1</v>
      </c>
      <c r="H43" s="1363"/>
      <c r="I43" s="1363"/>
      <c r="J43" s="1363"/>
      <c r="K43" s="1363"/>
      <c r="L43" s="1364"/>
      <c r="M43" s="1365"/>
      <c r="N43" s="1365"/>
      <c r="O43" s="1365"/>
      <c r="P43" s="354"/>
      <c r="Q43" s="352"/>
      <c r="R43" s="353"/>
      <c r="S43" s="1457" t="str">
        <f>INDEX(PT_DIFFERENTIATION_NUM_CS,MATCH(C43,PT_DIFFERENTIATION_CS_ID,0))</f>
        <v>..</v>
      </c>
      <c r="T43" s="309" t="s">
        <v>483</v>
      </c>
      <c r="U43" s="300"/>
      <c r="V43" s="2242"/>
      <c r="W43" s="2243"/>
      <c r="X43" s="2243"/>
      <c r="Y43" s="2243"/>
      <c r="Z43" s="2243"/>
      <c r="AA43" s="2243"/>
      <c r="AB43" s="2244"/>
      <c r="AC43" s="2242" t="str">
        <f>INDEX(PT_DIFFERENTIATION_CS,MATCH(C43,PT_DIFFERENTIATION_CS_ID,0))</f>
        <v/>
      </c>
      <c r="AD43" s="2243"/>
      <c r="AE43" s="2243"/>
      <c r="AF43" s="2243"/>
      <c r="AG43" s="2243"/>
      <c r="AH43" s="2243"/>
      <c r="AI43" s="2243"/>
      <c r="AJ43" s="2244"/>
      <c r="AK43" s="1258" t="s">
        <v>484</v>
      </c>
      <c r="AM43" s="500"/>
      <c r="AN43" s="500" t="str">
        <f>IF(T43="","",T43)</f>
        <v>Наименование централизованной системы холодного водоснабжения</v>
      </c>
      <c r="AO43" s="500"/>
      <c r="AP43" s="500"/>
      <c r="AQ43" s="1155">
        <v>23</v>
      </c>
    </row>
    <row customHeight="1" ht="24">
      <c r="A44" s="1363" t="s">
        <v>238</v>
      </c>
      <c r="B44" s="1363" t="s">
        <v>239</v>
      </c>
      <c r="C44" s="1363" t="s">
        <v>240</v>
      </c>
      <c r="D44" s="1363" t="s">
        <v>499</v>
      </c>
      <c r="E44" s="2259"/>
      <c r="F44" s="2259"/>
      <c r="G44" s="2259"/>
      <c r="H44" s="2259"/>
      <c r="I44" s="2256" t="str">
        <f>S43&amp;".1"</f>
        <v>...1</v>
      </c>
      <c r="J44" s="1363"/>
      <c r="K44" s="1363"/>
      <c r="L44" s="1364"/>
      <c r="P44" s="2257">
        <v>1</v>
      </c>
      <c r="Q44" s="1450"/>
      <c r="R44" s="356"/>
      <c r="S44" s="1457" t="str">
        <f>$I44</f>
        <v>...1</v>
      </c>
      <c r="T44" s="285" t="s">
        <v>485</v>
      </c>
      <c r="U44" s="300"/>
      <c r="V44" s="2350"/>
      <c r="W44" s="2351"/>
      <c r="X44" s="2351"/>
      <c r="Y44" s="2351"/>
      <c r="Z44" s="2351"/>
      <c r="AA44" s="2351"/>
      <c r="AB44" s="2352"/>
      <c r="AC44" s="2353"/>
      <c r="AD44" s="2354"/>
      <c r="AE44" s="2354"/>
      <c r="AF44" s="2354"/>
      <c r="AG44" s="2354"/>
      <c r="AH44" s="2354"/>
      <c r="AI44" s="2354"/>
      <c r="AJ44" s="2355"/>
      <c r="AK44" s="1258" t="s">
        <v>486</v>
      </c>
      <c r="AM44" s="500"/>
      <c r="AN44" s="500" t="str">
        <f>IF(T44="","",T44)</f>
        <v>Наименование признака дифференциации</v>
      </c>
      <c r="AO44" s="500"/>
      <c r="AP44" s="500"/>
      <c r="AQ44" s="1155">
        <v>23</v>
      </c>
    </row>
    <row customHeight="1" ht="24">
      <c r="A45" s="1363" t="s">
        <v>238</v>
      </c>
      <c r="B45" s="1363" t="s">
        <v>239</v>
      </c>
      <c r="C45" s="1363" t="s">
        <v>240</v>
      </c>
      <c r="D45" s="1363" t="s">
        <v>499</v>
      </c>
      <c r="E45" s="2259"/>
      <c r="F45" s="2259"/>
      <c r="G45" s="2259"/>
      <c r="H45" s="2259"/>
      <c r="I45" s="2286"/>
      <c r="J45" s="2256" t="str">
        <f>I44&amp;".1"</f>
        <v>...1.1</v>
      </c>
      <c r="K45" s="1363"/>
      <c r="L45" s="1364" t="s">
        <v>408</v>
      </c>
      <c r="P45" s="2257"/>
      <c r="Q45" s="2257">
        <v>1</v>
      </c>
      <c r="R45" s="357"/>
      <c r="S45" s="1457" t="str">
        <f>$J45</f>
        <v>...1.1</v>
      </c>
      <c r="T45" s="286" t="s">
        <v>409</v>
      </c>
      <c r="U45" s="300"/>
      <c r="V45" s="2245"/>
      <c r="W45" s="2246"/>
      <c r="X45" s="2246"/>
      <c r="Y45" s="2246"/>
      <c r="Z45" s="2246"/>
      <c r="AA45" s="2246"/>
      <c r="AB45" s="2247"/>
      <c r="AC45" s="2245"/>
      <c r="AD45" s="2246"/>
      <c r="AE45" s="2246"/>
      <c r="AF45" s="2246"/>
      <c r="AG45" s="2246"/>
      <c r="AH45" s="2246"/>
      <c r="AI45" s="2246"/>
      <c r="AJ45" s="2247"/>
      <c r="AK45" s="1307" t="s">
        <v>487</v>
      </c>
      <c r="AM45" s="500"/>
      <c r="AN45" s="500" t="str">
        <f>IF(T45="","",T45)</f>
        <v>Группа потребителей</v>
      </c>
      <c r="AO45" s="500"/>
      <c r="AP45" s="500"/>
      <c r="AQ45" s="1155">
        <v>23</v>
      </c>
    </row>
    <row customHeight="1" ht="24">
      <c r="A46" s="1363" t="s">
        <v>238</v>
      </c>
      <c r="B46" s="1363" t="s">
        <v>239</v>
      </c>
      <c r="C46" s="1363" t="s">
        <v>240</v>
      </c>
      <c r="D46" s="1363" t="s">
        <v>499</v>
      </c>
      <c r="E46" s="2259"/>
      <c r="F46" s="2259"/>
      <c r="G46" s="2259"/>
      <c r="H46" s="2259"/>
      <c r="I46" s="2286"/>
      <c r="J46" s="2286"/>
      <c r="K46" s="2256" t="str">
        <f>J45&amp;".1"</f>
        <v>...1.1.1</v>
      </c>
      <c r="L46" s="1364"/>
      <c r="P46" s="2257"/>
      <c r="Q46" s="2257"/>
      <c r="R46" s="357">
        <v>1</v>
      </c>
      <c r="S46" s="1457" t="str">
        <f>$K46</f>
        <v>...1.1.1</v>
      </c>
      <c r="T46" s="1437"/>
      <c r="U46" s="300"/>
      <c r="V46" s="751"/>
      <c r="W46" s="751"/>
      <c r="X46" s="1257"/>
      <c r="Y46" s="2265"/>
      <c r="Z46" s="2107" t="s">
        <v>66</v>
      </c>
      <c r="AA46" s="2265"/>
      <c r="AB46" s="2107" t="s">
        <v>66</v>
      </c>
      <c r="AC46" s="751"/>
      <c r="AD46" s="751"/>
      <c r="AE46" s="1257"/>
      <c r="AF46" s="2265"/>
      <c r="AG46" s="2107" t="s">
        <v>66</v>
      </c>
      <c r="AH46" s="2287"/>
      <c r="AI46" s="2107" t="s">
        <v>66</v>
      </c>
      <c r="AJ46" s="1438"/>
      <c r="AK46" s="234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1">
        <f>STRCHECKDATE(V47:AJ47)</f>
      </c>
      <c r="AM46" s="500"/>
      <c r="AN46" s="500" t="str">
        <f>IF(T46="","",T46)</f>
        <v/>
      </c>
      <c r="AO46" s="500"/>
      <c r="AP46" s="500"/>
      <c r="AQ46" s="1155">
        <v>23</v>
      </c>
    </row>
    <row customHeight="1" ht="0">
      <c r="A47" s="1363" t="s">
        <v>238</v>
      </c>
      <c r="B47" s="1363" t="s">
        <v>239</v>
      </c>
      <c r="C47" s="1363" t="s">
        <v>240</v>
      </c>
      <c r="D47" s="1363" t="s">
        <v>499</v>
      </c>
      <c r="E47" s="2259"/>
      <c r="F47" s="2259"/>
      <c r="G47" s="2259"/>
      <c r="H47" s="2259"/>
      <c r="I47" s="2286"/>
      <c r="J47" s="2286"/>
      <c r="K47" s="2256"/>
      <c r="L47" s="1364"/>
      <c r="P47" s="2257"/>
      <c r="Q47" s="2257"/>
      <c r="R47" s="357"/>
      <c r="S47" s="1456"/>
      <c r="T47" s="300"/>
      <c r="U47" s="300"/>
      <c r="V47" s="325"/>
      <c r="W47" s="325"/>
      <c r="X47" s="328" t="str">
        <f>Y46&amp;"-"&amp;AA46</f>
        <v>-</v>
      </c>
      <c r="Y47" s="2266"/>
      <c r="Z47" s="2107"/>
      <c r="AA47" s="2266"/>
      <c r="AB47" s="2107"/>
      <c r="AC47" s="325"/>
      <c r="AD47" s="325"/>
      <c r="AE47" s="328" t="str">
        <f>AF46&amp;"-"&amp;AH46</f>
        <v>-</v>
      </c>
      <c r="AF47" s="2266"/>
      <c r="AG47" s="2107"/>
      <c r="AH47" s="2288"/>
      <c r="AI47" s="2107"/>
      <c r="AJ47" s="1439"/>
      <c r="AK47" s="2349"/>
      <c r="AM47" s="500"/>
      <c r="AN47" s="500" t="str">
        <f>IF(T47="","",T47)</f>
        <v/>
      </c>
      <c r="AO47" s="500"/>
      <c r="AP47" s="500"/>
      <c r="AQ47" s="1155">
        <v>0</v>
      </c>
    </row>
    <row customHeight="1" ht="21">
      <c r="A48" s="1363" t="s">
        <v>238</v>
      </c>
      <c r="B48" s="1363" t="s">
        <v>239</v>
      </c>
      <c r="C48" s="1363" t="s">
        <v>240</v>
      </c>
      <c r="D48" s="1363" t="s">
        <v>499</v>
      </c>
      <c r="E48" s="2259"/>
      <c r="F48" s="2259"/>
      <c r="G48" s="2259"/>
      <c r="H48" s="2259"/>
      <c r="I48" s="2286"/>
      <c r="J48" s="2256"/>
      <c r="K48" s="1363"/>
      <c r="L48" s="1364"/>
      <c r="P48" s="2257"/>
      <c r="Q48" s="2257"/>
      <c r="R48" s="356"/>
      <c r="S48" s="1278"/>
      <c r="T48" s="287" t="s">
        <v>488</v>
      </c>
      <c r="U48" s="367"/>
      <c r="V48" s="367"/>
      <c r="W48" s="367"/>
      <c r="X48" s="367"/>
      <c r="Y48" s="367"/>
      <c r="Z48" s="367"/>
      <c r="AA48" s="367"/>
      <c r="AB48" s="367"/>
      <c r="AC48" s="367"/>
      <c r="AD48" s="367"/>
      <c r="AE48" s="367"/>
      <c r="AF48" s="367"/>
      <c r="AG48" s="367"/>
      <c r="AH48" s="367"/>
      <c r="AI48" s="367"/>
      <c r="AJ48" s="367"/>
      <c r="AK48" s="1258" t="s">
        <v>489</v>
      </c>
      <c r="AM48" s="500"/>
      <c r="AN48" s="500" t="str">
        <f>IF(T48="","",T48)</f>
        <v>Добавить значение признака дифференциации</v>
      </c>
      <c r="AO48" s="500"/>
      <c r="AP48" s="500"/>
      <c r="AQ48" s="1155">
        <v>20</v>
      </c>
    </row>
    <row customHeight="1" ht="22.049999999999997">
      <c r="A49" s="1363" t="s">
        <v>238</v>
      </c>
      <c r="B49" s="1363" t="s">
        <v>239</v>
      </c>
      <c r="C49" s="1363" t="s">
        <v>240</v>
      </c>
      <c r="D49" s="1363" t="s">
        <v>499</v>
      </c>
      <c r="E49" s="2259"/>
      <c r="F49" s="2259"/>
      <c r="G49" s="2259"/>
      <c r="H49" s="2259"/>
      <c r="I49" s="2256"/>
      <c r="J49" s="1363"/>
      <c r="K49" s="1363"/>
      <c r="L49" s="1364"/>
      <c r="P49" s="2257"/>
      <c r="Q49" s="1450"/>
      <c r="R49" s="356"/>
      <c r="S49" s="1278"/>
      <c r="T49" s="365" t="s">
        <v>414</v>
      </c>
      <c r="U49" s="367"/>
      <c r="V49" s="367"/>
      <c r="W49" s="367"/>
      <c r="X49" s="367"/>
      <c r="Y49" s="367"/>
      <c r="Z49" s="367"/>
      <c r="AA49" s="367"/>
      <c r="AB49" s="366"/>
      <c r="AC49" s="367"/>
      <c r="AD49" s="367"/>
      <c r="AE49" s="367"/>
      <c r="AF49" s="367"/>
      <c r="AG49" s="367"/>
      <c r="AH49" s="367"/>
      <c r="AI49" s="366"/>
      <c r="AJ49" s="367"/>
      <c r="AK49" s="1440"/>
      <c r="AM49" s="500"/>
      <c r="AN49" s="500" t="str">
        <f>IF(T49="","",T49)</f>
        <v>Добавить группу потребителей</v>
      </c>
      <c r="AO49" s="500"/>
      <c r="AP49" s="500"/>
      <c r="AQ49" s="1155">
        <v>21</v>
      </c>
    </row>
    <row customHeight="1" ht="22.049999999999997">
      <c r="A50" s="1363" t="s">
        <v>238</v>
      </c>
      <c r="B50" s="1363" t="s">
        <v>239</v>
      </c>
      <c r="C50" s="1363" t="s">
        <v>240</v>
      </c>
      <c r="D50" s="1363" t="s">
        <v>499</v>
      </c>
      <c r="E50" s="2259"/>
      <c r="F50" s="2259"/>
      <c r="G50" s="2259"/>
      <c r="H50" s="2258"/>
      <c r="I50" s="1363"/>
      <c r="J50" s="1363"/>
      <c r="K50" s="1363"/>
      <c r="L50" s="1364"/>
      <c r="M50" s="1365"/>
      <c r="N50" s="1365"/>
      <c r="O50" s="537"/>
      <c r="P50" s="360"/>
      <c r="Q50" s="375"/>
      <c r="R50" s="355"/>
      <c r="S50" s="1278"/>
      <c r="T50" s="372" t="s">
        <v>490</v>
      </c>
      <c r="U50" s="367"/>
      <c r="V50" s="367"/>
      <c r="W50" s="367"/>
      <c r="X50" s="367"/>
      <c r="Y50" s="367"/>
      <c r="Z50" s="367"/>
      <c r="AA50" s="367"/>
      <c r="AB50" s="366"/>
      <c r="AC50" s="367"/>
      <c r="AD50" s="367"/>
      <c r="AE50" s="367"/>
      <c r="AF50" s="367"/>
      <c r="AG50" s="367"/>
      <c r="AH50" s="367"/>
      <c r="AI50" s="366"/>
      <c r="AJ50" s="367"/>
      <c r="AK50" s="303"/>
      <c r="AM50" s="500"/>
      <c r="AN50" s="500" t="str">
        <f>IF(T50="","",T50)</f>
        <v>Добавить наименование признака дифференциации</v>
      </c>
      <c r="AO50" s="500"/>
      <c r="AP50" s="500"/>
      <c r="AQ50" s="1155">
        <v>21</v>
      </c>
    </row>
    <row s="1642" customFormat="1" customHeight="1" ht="0">
      <c r="A51" s="1343" t="s">
        <v>238</v>
      </c>
      <c r="B51" s="1343" t="s">
        <v>239</v>
      </c>
      <c r="C51" s="1314"/>
      <c r="D51" s="1314"/>
      <c r="E51" s="2259"/>
      <c r="F51" s="2258"/>
      <c r="G51" s="1314"/>
      <c r="H51" s="1314"/>
      <c r="I51" s="1314"/>
      <c r="J51" s="1314"/>
      <c r="K51" s="1314"/>
      <c r="L51" s="1458"/>
      <c r="M51" s="1321"/>
      <c r="N51" s="1321"/>
      <c r="P51" s="1316"/>
      <c r="Q51" s="1317"/>
      <c r="R51" s="1316"/>
      <c r="S51" s="1322"/>
      <c r="T51" s="1325" t="s">
        <v>417</v>
      </c>
      <c r="U51" s="1324"/>
      <c r="V51" s="1324"/>
      <c r="W51" s="1324"/>
      <c r="X51" s="1324"/>
      <c r="Y51" s="1324"/>
      <c r="Z51" s="1324"/>
      <c r="AA51" s="1324"/>
      <c r="AB51" s="1324"/>
      <c r="AC51" s="1324"/>
      <c r="AD51" s="1324"/>
      <c r="AE51" s="1324"/>
      <c r="AF51" s="1324"/>
      <c r="AG51" s="1324"/>
      <c r="AH51" s="1324"/>
      <c r="AI51" s="1324"/>
      <c r="AJ51" s="1324"/>
      <c r="AK51" s="1324"/>
      <c r="AM51" s="789"/>
      <c r="AN51" s="789" t="str">
        <f>IF(T51="","",T51)</f>
        <v>Добавить централизованную систему для дифференциации</v>
      </c>
      <c r="AO51" s="789"/>
      <c r="AP51" s="789"/>
      <c r="AQ51" s="518">
        <v>0</v>
      </c>
    </row>
    <row s="1642" customFormat="1" customHeight="1" ht="0">
      <c r="A52" s="1343" t="s">
        <v>238</v>
      </c>
      <c r="B52" s="1343"/>
      <c r="C52" s="1343"/>
      <c r="D52" s="1343"/>
      <c r="E52" s="2258"/>
      <c r="F52" s="1343"/>
      <c r="G52" s="1343"/>
      <c r="H52" s="1343"/>
      <c r="I52" s="1343"/>
      <c r="J52" s="1343"/>
      <c r="K52" s="1343"/>
      <c r="L52" s="1346"/>
      <c r="M52" s="1321"/>
      <c r="N52" s="1321"/>
      <c r="O52" s="518"/>
      <c r="P52" s="380"/>
      <c r="Q52" s="1344"/>
      <c r="R52" s="380"/>
      <c r="S52" s="1322"/>
      <c r="T52" s="1325" t="s">
        <v>418</v>
      </c>
      <c r="U52" s="1324"/>
      <c r="V52" s="1324"/>
      <c r="W52" s="1324"/>
      <c r="X52" s="1324"/>
      <c r="Y52" s="1324"/>
      <c r="Z52" s="1324"/>
      <c r="AA52" s="1324"/>
      <c r="AB52" s="1324"/>
      <c r="AC52" s="1324"/>
      <c r="AD52" s="1324"/>
      <c r="AE52" s="1324"/>
      <c r="AF52" s="1324"/>
      <c r="AG52" s="1324"/>
      <c r="AH52" s="1324"/>
      <c r="AI52" s="1324"/>
      <c r="AJ52" s="1324"/>
      <c r="AK52" s="1324"/>
      <c r="AM52" s="500"/>
      <c r="AN52" s="500" t="str">
        <f>IF(T52="","",T52)</f>
        <v>Добавить территорию для дифференциации</v>
      </c>
      <c r="AO52" s="500"/>
      <c r="AP52" s="500"/>
      <c r="AQ52" s="511">
        <v>0</v>
      </c>
    </row>
    <row s="1642" customFormat="1" customHeight="1" ht="0">
      <c r="A53" s="1314"/>
      <c r="B53" s="1314"/>
      <c r="C53" s="1314"/>
      <c r="D53" s="1314"/>
      <c r="E53" s="1343"/>
      <c r="F53" s="1314"/>
      <c r="G53" s="1314"/>
      <c r="H53" s="1314"/>
      <c r="I53" s="1314"/>
      <c r="J53" s="1314"/>
      <c r="K53" s="1314"/>
      <c r="L53" s="1458"/>
      <c r="M53" s="1321"/>
      <c r="N53" s="1321"/>
      <c r="P53" s="1316"/>
      <c r="Q53" s="1317"/>
      <c r="R53" s="1316"/>
      <c r="S53" s="1322"/>
      <c r="T53" s="1325" t="s">
        <v>450</v>
      </c>
      <c r="U53" s="1324"/>
      <c r="V53" s="1324"/>
      <c r="W53" s="1324"/>
      <c r="X53" s="1324"/>
      <c r="Y53" s="1324"/>
      <c r="Z53" s="1324"/>
      <c r="AA53" s="1324"/>
      <c r="AB53" s="1324"/>
      <c r="AC53" s="1324"/>
      <c r="AD53" s="1324"/>
      <c r="AE53" s="1324"/>
      <c r="AF53" s="1324"/>
      <c r="AG53" s="1324"/>
      <c r="AH53" s="1324"/>
      <c r="AI53" s="1324"/>
      <c r="AJ53" s="1324"/>
      <c r="AK53" s="1324"/>
      <c r="AM53" s="789"/>
      <c r="AN53" s="789" t="str">
        <f>IF(T53="","",T53)</f>
        <v>Добавить наименование тарифа</v>
      </c>
      <c r="AO53" s="789"/>
      <c r="AP53" s="789"/>
      <c r="AQ53" s="518">
        <v>0</v>
      </c>
    </row>
    <row customHeight="1" ht="11.549999999999999">
      <c r="M54" s="1160"/>
      <c r="N54" s="1160"/>
      <c r="O54" s="537"/>
      <c r="P54" s="1155"/>
      <c r="Q54" s="1155"/>
      <c r="R54" s="1155"/>
      <c r="S54" s="1155"/>
      <c r="AL54" s="1155"/>
      <c r="AM54" s="1155"/>
      <c r="AN54" s="1155"/>
      <c r="AO54" s="1155"/>
      <c r="AP54" s="1155"/>
      <c r="AQ54" s="1155">
        <v>11</v>
      </c>
    </row>
    <row customHeight="1" ht="14.699999999999998">
      <c r="O55" s="537"/>
      <c r="S55" s="1253"/>
      <c r="T55" s="2285"/>
      <c r="U55" s="2285"/>
      <c r="V55" s="2285"/>
      <c r="W55" s="2285"/>
      <c r="X55" s="2285"/>
      <c r="Y55" s="2285"/>
      <c r="Z55" s="2285"/>
      <c r="AA55" s="2285"/>
      <c r="AB55" s="2285"/>
      <c r="AC55" s="2285"/>
      <c r="AD55" s="2285"/>
      <c r="AE55" s="2285"/>
      <c r="AF55" s="2285"/>
      <c r="AG55" s="2285"/>
      <c r="AH55" s="2285"/>
      <c r="AI55" s="2285"/>
      <c r="AJ55" s="2285"/>
      <c r="AK55" s="2285"/>
      <c r="AQ55" s="1155">
        <v>14</v>
      </c>
    </row>
    <row customHeight="1" ht="14.699999999999998">
      <c r="O56" s="537"/>
      <c r="AQ56" s="1155">
        <v>14</v>
      </c>
    </row>
    <row customHeight="1" ht="14.699999999999998">
      <c r="O57" s="537"/>
      <c r="S57" s="1253"/>
      <c r="T57" s="2285"/>
      <c r="U57" s="2285"/>
      <c r="V57" s="2285"/>
      <c r="W57" s="2285"/>
      <c r="X57" s="2285"/>
      <c r="Y57" s="2285"/>
      <c r="Z57" s="2285"/>
      <c r="AA57" s="2285"/>
      <c r="AB57" s="2285"/>
      <c r="AC57" s="2285"/>
      <c r="AD57" s="2285"/>
      <c r="AE57" s="2285"/>
      <c r="AF57" s="2285"/>
      <c r="AG57" s="2285"/>
      <c r="AH57" s="2285"/>
      <c r="AI57" s="2285"/>
      <c r="AJ57" s="2285"/>
      <c r="AK57" s="2285"/>
      <c r="AQ57" s="1155">
        <v>14</v>
      </c>
    </row>
    <row customHeight="1" ht="22.5" hidden="1">
      <c r="A58" s="1160" t="s">
        <v>82</v>
      </c>
      <c r="B58" s="1160">
        <v>0</v>
      </c>
      <c r="C58" s="1160">
        <v>0</v>
      </c>
      <c r="D58" s="1160">
        <v>0</v>
      </c>
      <c r="E58" s="1160">
        <v>0</v>
      </c>
      <c r="F58" s="1160">
        <v>0</v>
      </c>
      <c r="G58" s="1160">
        <v>0</v>
      </c>
      <c r="H58" s="1160">
        <v>0</v>
      </c>
      <c r="I58" s="1160">
        <v>0</v>
      </c>
      <c r="J58" s="1160">
        <v>0</v>
      </c>
      <c r="K58" s="1160">
        <v>0</v>
      </c>
      <c r="L58" s="1447">
        <v>0</v>
      </c>
      <c r="M58" s="1362">
        <v>0</v>
      </c>
      <c r="N58" s="1362">
        <v>0</v>
      </c>
      <c r="O58" s="1362">
        <v>0</v>
      </c>
      <c r="P58" s="1446">
        <v>3</v>
      </c>
      <c r="Q58" s="344">
        <v>3</v>
      </c>
      <c r="R58" s="344">
        <v>3</v>
      </c>
      <c r="S58" s="581">
        <v>12</v>
      </c>
      <c r="T58" s="1155">
        <v>35</v>
      </c>
      <c r="U58" s="1155">
        <v>0</v>
      </c>
      <c r="V58" s="1155">
        <v>0</v>
      </c>
      <c r="W58" s="1155">
        <v>0</v>
      </c>
      <c r="X58" s="1155">
        <v>0</v>
      </c>
      <c r="Y58" s="1155">
        <v>0</v>
      </c>
      <c r="Z58" s="1155">
        <v>0</v>
      </c>
      <c r="AA58" s="1155">
        <v>0</v>
      </c>
      <c r="AB58" s="1155">
        <v>0</v>
      </c>
      <c r="AC58" s="1155">
        <v>24</v>
      </c>
      <c r="AD58" s="1155">
        <v>24</v>
      </c>
      <c r="AE58" s="1155">
        <v>24</v>
      </c>
      <c r="AF58" s="1155">
        <v>11</v>
      </c>
      <c r="AG58" s="1155">
        <v>3</v>
      </c>
      <c r="AH58" s="1155">
        <v>11</v>
      </c>
      <c r="AI58" s="1155">
        <v>0</v>
      </c>
      <c r="AJ58" s="1155">
        <v>4</v>
      </c>
      <c r="AK58" s="1155">
        <v>115</v>
      </c>
      <c r="AL58" s="511">
        <v>10</v>
      </c>
      <c r="AM58" s="511">
        <v>10</v>
      </c>
      <c r="AN58" s="511">
        <v>10</v>
      </c>
      <c r="AO58" s="511">
        <v>10</v>
      </c>
      <c r="AP58" s="511">
        <v>10</v>
      </c>
      <c r="AQ58" s="1155">
        <v>23</v>
      </c>
    </row>
  </sheetData>
  <sheetProtection formatColumns="0" formatRows="0" autoFilter="0" sort="0" insertRows="0" insertColumns="1" deleteRows="0" deleteColumns="0"/>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46 AI524330 AI196650 AI589866 AI655402 AI15 AI720938 AI786474 AI852010 AI917546 AI983082 AI65578 AI131114 AI458794 AI262186 AG46 AI7 Z46 AB46 AG15 AG7 Z7 AB7 AI327722 AI393258"/>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Y46 AA46 AH7 AF7 Y7 AA7"/>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44:AJ44 AC5:AJ5">
      <formula1>900</formula1>
    </dataValidation>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X47 AE8 X8 AE47"/>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7C825A4-C078-B4BE-CFDA-D920454B395F}" mc:Ignorable="x14ac xr xr2 xr3">
  <sheetPr>
    <tabColor theme="6" tint="0.4"/>
  </sheetPr>
  <dimension ref="A1:AQ58"/>
  <sheetViews>
    <sheetView showGridLines="0" zoomScale="90" workbookViewId="0">
      <pane xSplit="28" ySplit="40" topLeftCell="AC41" activePane="bottomRight" state="frozen"/>
      <selection pane="bottomLeft" activeCell="A41" sqref="A41"/>
      <selection pane="topRight" activeCell="AC1" sqref="AC1"/>
      <selection pane="bottomRight" activeCell="A1" sqref="A1"/>
    </sheetView>
  </sheetViews>
  <sheetFormatPr defaultColWidth="10.57421875" customHeight="1" defaultRowHeight="14.25"/>
  <cols>
    <col min="1" max="1" style="1366" width="10.57421875" hidden="1"/>
    <col min="2" max="2" style="1366" width="11.00390625" hidden="1" customWidth="1"/>
    <col min="3" max="3" style="1366" width="10.57421875" hidden="1"/>
    <col min="4" max="4" style="1366" width="11.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4.140625" hidden="1" customWidth="1"/>
    <col min="10" max="10" style="1366" width="9.8515625" hidden="1" customWidth="1"/>
    <col min="11" max="11" style="1366" width="14.7109375" hidden="1" customWidth="1"/>
    <col min="12" max="12" style="2607" width="19.140625" hidden="1" customWidth="1"/>
    <col min="13" max="14" style="1776" width="12.28125" hidden="1" customWidth="1"/>
    <col min="15" max="15" style="1776" width="23.421875" hidden="1" customWidth="1"/>
    <col min="16" max="16" style="2397" width="3.00390625" customWidth="1"/>
    <col min="17" max="18" style="344" width="3.00390625" customWidth="1"/>
    <col min="19" max="19" style="2407" width="12.00390625" customWidth="1"/>
    <col min="20" max="20" style="1635" width="35.00390625" customWidth="1"/>
    <col min="21" max="21" style="1635" width="0.140625" customWidth="1"/>
    <col min="22" max="24" style="1635" width="24.7109375" hidden="1" customWidth="1"/>
    <col min="25" max="25" style="1635" width="11.7109375" hidden="1" customWidth="1"/>
    <col min="26" max="26" style="1635" width="3.7109375" hidden="1" customWidth="1"/>
    <col min="27" max="27" style="1635" width="11.7109375" hidden="1" customWidth="1"/>
    <col min="28" max="28" style="1635" width="8.57421875" hidden="1" customWidth="1"/>
    <col min="29" max="29" style="1635" width="24.7109375" customWidth="1"/>
    <col min="30" max="31" style="1635" width="24.00390625" customWidth="1"/>
    <col min="32" max="32" style="1635" width="11.00390625" customWidth="1"/>
    <col min="33" max="33" style="1635" width="3.7109375" customWidth="1"/>
    <col min="34" max="34" style="1635" width="11.00390625" customWidth="1"/>
    <col min="35" max="35" style="1635" width="8.57421875" hidden="1" customWidth="1"/>
    <col min="36" max="36" style="1635" width="4.00390625" customWidth="1"/>
    <col min="37" max="37" style="1635" width="115.00390625" customWidth="1"/>
    <col min="38" max="42" style="1642" width="10.00390625" customWidth="1"/>
    <col min="43" max="43" style="1635" width="10.57421875" hidden="1"/>
  </cols>
  <sheetData>
    <row customHeight="1" ht="22.5" hidden="1">
      <c r="X1" s="327"/>
      <c r="Y1" s="327"/>
      <c r="AE1" s="327"/>
      <c r="AF1" s="327"/>
      <c r="AQ1" s="1155" t="s">
        <v>14</v>
      </c>
    </row>
    <row customHeight="1" ht="23.25" hidden="1">
      <c r="A2" s="1363"/>
      <c r="B2" s="1363"/>
      <c r="C2" s="1363"/>
      <c r="D2" s="1363"/>
      <c r="E2" s="2258">
        <v>1</v>
      </c>
      <c r="F2" s="1363"/>
      <c r="G2" s="1363"/>
      <c r="H2" s="1363"/>
      <c r="I2" s="1363"/>
      <c r="J2" s="1363"/>
      <c r="K2" s="1363"/>
      <c r="L2" s="1364"/>
      <c r="M2" s="1365"/>
      <c r="N2" s="1365"/>
      <c r="O2" s="1365"/>
      <c r="P2" s="361"/>
      <c r="Q2" s="360"/>
      <c r="R2" s="355"/>
      <c r="S2" s="1457">
        <f>INDEX(PT_DIFFERENTIATION_NUM_NTAR,MATCH(A2,PT_DIFFERENTIATION_NTAR_ID,0))</f>
      </c>
      <c r="T2" s="298" t="s">
        <v>127</v>
      </c>
      <c r="U2" s="300"/>
      <c r="V2" s="2242"/>
      <c r="W2" s="2243"/>
      <c r="X2" s="2243"/>
      <c r="Y2" s="2243"/>
      <c r="Z2" s="2243"/>
      <c r="AA2" s="2243"/>
      <c r="AB2" s="2244"/>
      <c r="AC2" s="2242">
        <f>INDEX(PT_DIFFERENTIATION_NTAR,MATCH(A2,PT_DIFFERENTIATION_NTAR_ID,0))</f>
      </c>
      <c r="AD2" s="2243"/>
      <c r="AE2" s="2243"/>
      <c r="AF2" s="2243"/>
      <c r="AG2" s="2243"/>
      <c r="AH2" s="2243"/>
      <c r="AI2" s="2243"/>
      <c r="AJ2" s="2244"/>
      <c r="AK2"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00"/>
      <c r="AN2" s="500" t="str">
        <f>IF(T2="","",T2)</f>
        <v>Наименование тарифа</v>
      </c>
      <c r="AO2" s="500"/>
      <c r="AP2" s="500"/>
      <c r="AQ2" s="1155">
        <v>0</v>
      </c>
    </row>
    <row customHeight="1" ht="23.25" hidden="1">
      <c r="A3" s="1363"/>
      <c r="B3" s="1363"/>
      <c r="C3" s="1363"/>
      <c r="D3" s="1363"/>
      <c r="E3" s="2259"/>
      <c r="F3" s="2258">
        <v>1</v>
      </c>
      <c r="G3" s="1363"/>
      <c r="H3" s="1363"/>
      <c r="I3" s="1363"/>
      <c r="J3" s="1363"/>
      <c r="K3" s="1363"/>
      <c r="L3" s="1364"/>
      <c r="M3" s="1365"/>
      <c r="N3" s="1365"/>
      <c r="O3" s="1365"/>
      <c r="P3" s="1453"/>
      <c r="Q3" s="352"/>
      <c r="R3" s="353"/>
      <c r="S3" s="1457">
        <f>INDEX(PT_DIFFERENTIATION_NUM_TER,MATCH(B3,PT_DIFFERENTIATION_TER_ID,0))</f>
      </c>
      <c r="T3" s="308" t="s">
        <v>399</v>
      </c>
      <c r="U3" s="300"/>
      <c r="V3" s="2242"/>
      <c r="W3" s="2243"/>
      <c r="X3" s="2243"/>
      <c r="Y3" s="2243"/>
      <c r="Z3" s="2243"/>
      <c r="AA3" s="2243"/>
      <c r="AB3" s="2244"/>
      <c r="AC3" s="2242">
        <f>INDEX(PT_DIFFERENTIATION_TER,MATCH(B3,PT_DIFFERENTIATION_TER_ID,0))</f>
      </c>
      <c r="AD3" s="2243"/>
      <c r="AE3" s="2243"/>
      <c r="AF3" s="2243"/>
      <c r="AG3" s="2243"/>
      <c r="AH3" s="2243"/>
      <c r="AI3" s="2243"/>
      <c r="AJ3" s="2244"/>
      <c r="AK3" s="1258" t="s">
        <v>400</v>
      </c>
      <c r="AM3" s="500"/>
      <c r="AN3" s="500" t="str">
        <f>IF(T3="","",T3)</f>
        <v>Территория действия тарифа</v>
      </c>
      <c r="AO3" s="500"/>
      <c r="AP3" s="500"/>
      <c r="AQ3" s="1155">
        <v>0</v>
      </c>
    </row>
    <row customHeight="1" ht="23.25" hidden="1">
      <c r="A4" s="1363"/>
      <c r="B4" s="1363"/>
      <c r="C4" s="1363"/>
      <c r="D4" s="1363"/>
      <c r="E4" s="2259"/>
      <c r="F4" s="2259"/>
      <c r="G4" s="2258">
        <v>1</v>
      </c>
      <c r="H4" s="1363"/>
      <c r="I4" s="1363"/>
      <c r="J4" s="1363"/>
      <c r="K4" s="1363"/>
      <c r="L4" s="1364"/>
      <c r="M4" s="1365"/>
      <c r="N4" s="1365"/>
      <c r="O4" s="1365"/>
      <c r="P4" s="354"/>
      <c r="Q4" s="352"/>
      <c r="R4" s="353"/>
      <c r="S4" s="1457">
        <f>INDEX(PT_DIFFERENTIATION_NUM_CS,MATCH(C4,PT_DIFFERENTIATION_CS_ID,0))</f>
      </c>
      <c r="T4" s="309" t="s">
        <v>483</v>
      </c>
      <c r="U4" s="300"/>
      <c r="V4" s="2242"/>
      <c r="W4" s="2243"/>
      <c r="X4" s="2243"/>
      <c r="Y4" s="2243"/>
      <c r="Z4" s="2243"/>
      <c r="AA4" s="2243"/>
      <c r="AB4" s="2244"/>
      <c r="AC4" s="2242">
        <f>INDEX(PT_DIFFERENTIATION_CS,MATCH(C4,PT_DIFFERENTIATION_CS_ID,0))</f>
      </c>
      <c r="AD4" s="2243"/>
      <c r="AE4" s="2243"/>
      <c r="AF4" s="2243"/>
      <c r="AG4" s="2243"/>
      <c r="AH4" s="2243"/>
      <c r="AI4" s="2243"/>
      <c r="AJ4" s="2244"/>
      <c r="AK4" s="1258" t="s">
        <v>484</v>
      </c>
      <c r="AM4" s="500"/>
      <c r="AN4" s="500" t="str">
        <f>IF(T4="","",T4)</f>
        <v>Наименование централизованной системы холодного водоснабжения</v>
      </c>
      <c r="AO4" s="500"/>
      <c r="AP4" s="500"/>
      <c r="AQ4" s="1155">
        <v>0</v>
      </c>
    </row>
    <row customHeight="1" ht="23.25" hidden="1">
      <c r="A5" s="1363"/>
      <c r="B5" s="1363"/>
      <c r="C5" s="1363"/>
      <c r="D5" s="1363"/>
      <c r="E5" s="2259"/>
      <c r="F5" s="2259"/>
      <c r="G5" s="2259"/>
      <c r="H5" s="2259"/>
      <c r="I5" s="2256">
        <f>S4&amp;".1"</f>
      </c>
      <c r="J5" s="1363"/>
      <c r="K5" s="1363"/>
      <c r="L5" s="1364"/>
      <c r="P5" s="2257">
        <v>1</v>
      </c>
      <c r="Q5" s="1450"/>
      <c r="R5" s="356"/>
      <c r="S5" s="1457">
        <f>$I5</f>
      </c>
      <c r="T5" s="285" t="s">
        <v>485</v>
      </c>
      <c r="U5" s="300"/>
      <c r="V5" s="2350"/>
      <c r="W5" s="2351"/>
      <c r="X5" s="2351"/>
      <c r="Y5" s="2351"/>
      <c r="Z5" s="2351"/>
      <c r="AA5" s="2351"/>
      <c r="AB5" s="2352"/>
      <c r="AC5" s="2353"/>
      <c r="AD5" s="2354"/>
      <c r="AE5" s="2354"/>
      <c r="AF5" s="2354"/>
      <c r="AG5" s="2354"/>
      <c r="AH5" s="2354"/>
      <c r="AI5" s="2354"/>
      <c r="AJ5" s="2355"/>
      <c r="AK5" s="1258" t="s">
        <v>486</v>
      </c>
      <c r="AM5" s="500"/>
      <c r="AN5" s="500" t="str">
        <f>IF(T5="","",T5)</f>
        <v>Наименование признака дифференциации</v>
      </c>
      <c r="AO5" s="500"/>
      <c r="AP5" s="500"/>
      <c r="AQ5" s="1155">
        <v>0</v>
      </c>
    </row>
    <row customHeight="1" ht="23.25" hidden="1">
      <c r="A6" s="1363"/>
      <c r="B6" s="1363"/>
      <c r="C6" s="1363"/>
      <c r="D6" s="1363"/>
      <c r="E6" s="2259"/>
      <c r="F6" s="2259"/>
      <c r="G6" s="2259"/>
      <c r="H6" s="2259"/>
      <c r="I6" s="2286"/>
      <c r="J6" s="2256">
        <f>I5&amp;".1"</f>
      </c>
      <c r="K6" s="1363"/>
      <c r="L6" s="1364" t="s">
        <v>408</v>
      </c>
      <c r="P6" s="2257"/>
      <c r="Q6" s="2257">
        <v>1</v>
      </c>
      <c r="R6" s="357"/>
      <c r="S6" s="1457">
        <f>$J6</f>
      </c>
      <c r="T6" s="286" t="s">
        <v>409</v>
      </c>
      <c r="U6" s="300"/>
      <c r="V6" s="2245"/>
      <c r="W6" s="2246"/>
      <c r="X6" s="2246"/>
      <c r="Y6" s="2246"/>
      <c r="Z6" s="2246"/>
      <c r="AA6" s="2246"/>
      <c r="AB6" s="2247"/>
      <c r="AC6" s="2245"/>
      <c r="AD6" s="2246"/>
      <c r="AE6" s="2246"/>
      <c r="AF6" s="2246"/>
      <c r="AG6" s="2246"/>
      <c r="AH6" s="2246"/>
      <c r="AI6" s="2246"/>
      <c r="AJ6" s="2247"/>
      <c r="AK6" s="1307" t="s">
        <v>487</v>
      </c>
      <c r="AM6" s="500"/>
      <c r="AN6" s="500" t="str">
        <f>IF(T6="","",T6)</f>
        <v>Группа потребителей</v>
      </c>
      <c r="AO6" s="500"/>
      <c r="AP6" s="500"/>
      <c r="AQ6" s="1155">
        <v>0</v>
      </c>
    </row>
    <row customHeight="1" ht="23.25" hidden="1">
      <c r="A7" s="1363"/>
      <c r="B7" s="1363"/>
      <c r="C7" s="1363"/>
      <c r="D7" s="1363"/>
      <c r="E7" s="2259"/>
      <c r="F7" s="2259"/>
      <c r="G7" s="2259"/>
      <c r="H7" s="2259"/>
      <c r="I7" s="2286"/>
      <c r="J7" s="2286"/>
      <c r="K7" s="2256">
        <f>J6&amp;".1"</f>
      </c>
      <c r="L7" s="1364"/>
      <c r="P7" s="2257"/>
      <c r="Q7" s="2257"/>
      <c r="R7" s="357">
        <v>1</v>
      </c>
      <c r="S7" s="1457">
        <f>$K7</f>
      </c>
      <c r="T7" s="1437"/>
      <c r="U7" s="300"/>
      <c r="V7" s="751"/>
      <c r="W7" s="751"/>
      <c r="X7" s="1257"/>
      <c r="Y7" s="2265"/>
      <c r="Z7" s="2107" t="s">
        <v>66</v>
      </c>
      <c r="AA7" s="2265"/>
      <c r="AB7" s="2107" t="s">
        <v>66</v>
      </c>
      <c r="AC7" s="751"/>
      <c r="AD7" s="751"/>
      <c r="AE7" s="1257"/>
      <c r="AF7" s="2265"/>
      <c r="AG7" s="2107" t="s">
        <v>66</v>
      </c>
      <c r="AH7" s="2287"/>
      <c r="AI7" s="2107" t="s">
        <v>66</v>
      </c>
      <c r="AJ7" s="1438"/>
      <c r="AK7" s="234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1">
        <f>STRCHECKDATE(V8:AJ8)</f>
      </c>
      <c r="AM7" s="500"/>
      <c r="AN7" s="500" t="str">
        <f>IF(T7="","",T7)</f>
        <v/>
      </c>
      <c r="AO7" s="500"/>
      <c r="AP7" s="500"/>
      <c r="AQ7" s="1155">
        <v>0</v>
      </c>
    </row>
    <row customHeight="1" ht="14.25" hidden="1">
      <c r="A8" s="1363"/>
      <c r="B8" s="1363"/>
      <c r="C8" s="1363"/>
      <c r="D8" s="1363"/>
      <c r="E8" s="2259"/>
      <c r="F8" s="2259"/>
      <c r="G8" s="2259"/>
      <c r="H8" s="2259"/>
      <c r="I8" s="2286"/>
      <c r="J8" s="2286"/>
      <c r="K8" s="2256"/>
      <c r="L8" s="1364"/>
      <c r="P8" s="2257"/>
      <c r="Q8" s="2257"/>
      <c r="R8" s="357"/>
      <c r="S8" s="1456"/>
      <c r="T8" s="300"/>
      <c r="U8" s="300"/>
      <c r="V8" s="325"/>
      <c r="W8" s="325"/>
      <c r="X8" s="328" t="str">
        <f>Y7&amp;"-"&amp;AA7</f>
        <v>-</v>
      </c>
      <c r="Y8" s="2266"/>
      <c r="Z8" s="2107"/>
      <c r="AA8" s="2266"/>
      <c r="AB8" s="2107"/>
      <c r="AC8" s="325"/>
      <c r="AD8" s="325"/>
      <c r="AE8" s="328" t="str">
        <f>AF7&amp;"-"&amp;AH7</f>
        <v>-</v>
      </c>
      <c r="AF8" s="2266"/>
      <c r="AG8" s="2107"/>
      <c r="AH8" s="2288"/>
      <c r="AI8" s="2107"/>
      <c r="AJ8" s="1439"/>
      <c r="AK8" s="2349"/>
      <c r="AM8" s="500"/>
      <c r="AN8" s="500" t="str">
        <f>IF(T8="","",T8)</f>
        <v/>
      </c>
      <c r="AO8" s="500"/>
      <c r="AP8" s="500"/>
      <c r="AQ8" s="1155">
        <v>0</v>
      </c>
    </row>
    <row customHeight="1" ht="21" hidden="1">
      <c r="A9" s="1363"/>
      <c r="B9" s="1363"/>
      <c r="C9" s="1363"/>
      <c r="D9" s="1363"/>
      <c r="E9" s="2259"/>
      <c r="F9" s="2259"/>
      <c r="G9" s="2259"/>
      <c r="H9" s="2259"/>
      <c r="I9" s="2286"/>
      <c r="J9" s="2256"/>
      <c r="K9" s="1363"/>
      <c r="L9" s="1364"/>
      <c r="P9" s="2257"/>
      <c r="Q9" s="2257"/>
      <c r="R9" s="356"/>
      <c r="S9" s="1278"/>
      <c r="T9" s="287" t="s">
        <v>488</v>
      </c>
      <c r="U9" s="367"/>
      <c r="V9" s="367"/>
      <c r="W9" s="367"/>
      <c r="X9" s="367"/>
      <c r="Y9" s="367"/>
      <c r="Z9" s="367"/>
      <c r="AA9" s="367"/>
      <c r="AB9" s="367"/>
      <c r="AC9" s="367"/>
      <c r="AD9" s="367"/>
      <c r="AE9" s="367"/>
      <c r="AF9" s="367"/>
      <c r="AG9" s="367"/>
      <c r="AH9" s="367"/>
      <c r="AI9" s="367"/>
      <c r="AJ9" s="367"/>
      <c r="AK9" s="1258" t="s">
        <v>489</v>
      </c>
      <c r="AM9" s="500"/>
      <c r="AN9" s="500" t="str">
        <f>IF(T9="","",T9)</f>
        <v>Добавить значение признака дифференциации</v>
      </c>
      <c r="AO9" s="500"/>
      <c r="AP9" s="500"/>
      <c r="AQ9" s="1155">
        <v>0</v>
      </c>
    </row>
    <row customHeight="1" ht="21" hidden="1">
      <c r="A10" s="1363"/>
      <c r="B10" s="1363"/>
      <c r="C10" s="1363"/>
      <c r="D10" s="1363"/>
      <c r="E10" s="2259"/>
      <c r="F10" s="2259"/>
      <c r="G10" s="2259"/>
      <c r="H10" s="2259"/>
      <c r="I10" s="2256"/>
      <c r="J10" s="1363"/>
      <c r="K10" s="1363"/>
      <c r="L10" s="1364"/>
      <c r="P10" s="2257"/>
      <c r="Q10" s="1450"/>
      <c r="R10" s="356"/>
      <c r="S10" s="1278"/>
      <c r="T10" s="365" t="s">
        <v>414</v>
      </c>
      <c r="U10" s="367"/>
      <c r="V10" s="367"/>
      <c r="W10" s="367"/>
      <c r="X10" s="367"/>
      <c r="Y10" s="367"/>
      <c r="Z10" s="367"/>
      <c r="AA10" s="367"/>
      <c r="AB10" s="366"/>
      <c r="AC10" s="367"/>
      <c r="AD10" s="367"/>
      <c r="AE10" s="367"/>
      <c r="AF10" s="367"/>
      <c r="AG10" s="367"/>
      <c r="AH10" s="367"/>
      <c r="AI10" s="366"/>
      <c r="AJ10" s="367"/>
      <c r="AK10" s="1440"/>
      <c r="AM10" s="500"/>
      <c r="AN10" s="500" t="str">
        <f>IF(T10="","",T10)</f>
        <v>Добавить группу потребителей</v>
      </c>
      <c r="AO10" s="500"/>
      <c r="AP10" s="500"/>
      <c r="AQ10" s="1155">
        <v>0</v>
      </c>
    </row>
    <row customHeight="1" ht="21" hidden="1">
      <c r="A11" s="1363"/>
      <c r="B11" s="1363"/>
      <c r="C11" s="1363"/>
      <c r="D11" s="1363"/>
      <c r="E11" s="2259"/>
      <c r="F11" s="2259"/>
      <c r="G11" s="2259"/>
      <c r="H11" s="2258"/>
      <c r="I11" s="1363"/>
      <c r="J11" s="1363"/>
      <c r="K11" s="1363"/>
      <c r="L11" s="1364"/>
      <c r="M11" s="1365"/>
      <c r="N11" s="1365"/>
      <c r="O11" s="537"/>
      <c r="P11" s="360"/>
      <c r="Q11" s="375"/>
      <c r="R11" s="355"/>
      <c r="S11" s="1278"/>
      <c r="T11" s="372" t="s">
        <v>490</v>
      </c>
      <c r="U11" s="367"/>
      <c r="V11" s="367"/>
      <c r="W11" s="367"/>
      <c r="X11" s="367"/>
      <c r="Y11" s="367"/>
      <c r="Z11" s="367"/>
      <c r="AA11" s="367"/>
      <c r="AB11" s="366"/>
      <c r="AC11" s="367"/>
      <c r="AD11" s="367"/>
      <c r="AE11" s="367"/>
      <c r="AF11" s="367"/>
      <c r="AG11" s="367"/>
      <c r="AH11" s="367"/>
      <c r="AI11" s="366"/>
      <c r="AJ11" s="367"/>
      <c r="AK11" s="303"/>
      <c r="AM11" s="500"/>
      <c r="AN11" s="500" t="str">
        <f>IF(T11="","",T11)</f>
        <v>Добавить наименование признака дифференциации</v>
      </c>
      <c r="AO11" s="500"/>
      <c r="AP11" s="500"/>
      <c r="AQ11" s="1155">
        <v>0</v>
      </c>
    </row>
    <row s="1642" customFormat="1" customHeight="1" ht="14.25" hidden="1">
      <c r="A12" s="1343"/>
      <c r="B12" s="1343"/>
      <c r="C12" s="1314"/>
      <c r="D12" s="1314"/>
      <c r="E12" s="2259"/>
      <c r="F12" s="2258"/>
      <c r="G12" s="1314"/>
      <c r="H12" s="1314"/>
      <c r="I12" s="1314"/>
      <c r="J12" s="1314"/>
      <c r="K12" s="1314"/>
      <c r="L12" s="1458"/>
      <c r="M12" s="1321"/>
      <c r="N12" s="1321"/>
      <c r="P12" s="1316"/>
      <c r="Q12" s="1317"/>
      <c r="R12" s="1316"/>
      <c r="S12" s="1322"/>
      <c r="T12" s="1325" t="s">
        <v>417</v>
      </c>
      <c r="U12" s="1324"/>
      <c r="V12" s="1324"/>
      <c r="W12" s="1324"/>
      <c r="X12" s="1324"/>
      <c r="Y12" s="1324"/>
      <c r="Z12" s="1324"/>
      <c r="AA12" s="1324"/>
      <c r="AB12" s="1324"/>
      <c r="AC12" s="1324"/>
      <c r="AD12" s="1324"/>
      <c r="AE12" s="1324"/>
      <c r="AF12" s="1324"/>
      <c r="AG12" s="1324"/>
      <c r="AH12" s="1324"/>
      <c r="AI12" s="1324"/>
      <c r="AJ12" s="1324"/>
      <c r="AK12" s="1324"/>
      <c r="AM12" s="789"/>
      <c r="AN12" s="789" t="str">
        <f>IF(T12="","",T12)</f>
        <v>Добавить централизованную систему для дифференциации</v>
      </c>
      <c r="AO12" s="789"/>
      <c r="AP12" s="789"/>
      <c r="AQ12" s="518">
        <v>0</v>
      </c>
    </row>
    <row s="1642" customFormat="1" customHeight="1" ht="14.25" hidden="1">
      <c r="A13" s="1343"/>
      <c r="B13" s="1343"/>
      <c r="C13" s="1343"/>
      <c r="D13" s="1343"/>
      <c r="E13" s="2258"/>
      <c r="F13" s="1343"/>
      <c r="G13" s="1343"/>
      <c r="H13" s="1343"/>
      <c r="I13" s="1343"/>
      <c r="J13" s="1343"/>
      <c r="K13" s="1343"/>
      <c r="L13" s="1346"/>
      <c r="M13" s="1321"/>
      <c r="N13" s="1321"/>
      <c r="O13" s="518"/>
      <c r="P13" s="380"/>
      <c r="Q13" s="1344"/>
      <c r="R13" s="380"/>
      <c r="S13" s="1322"/>
      <c r="T13" s="1325" t="s">
        <v>418</v>
      </c>
      <c r="U13" s="1324"/>
      <c r="V13" s="1324"/>
      <c r="W13" s="1324"/>
      <c r="X13" s="1324"/>
      <c r="Y13" s="1324"/>
      <c r="Z13" s="1324"/>
      <c r="AA13" s="1324"/>
      <c r="AB13" s="1324"/>
      <c r="AC13" s="1324"/>
      <c r="AD13" s="1324"/>
      <c r="AE13" s="1324"/>
      <c r="AF13" s="1324"/>
      <c r="AG13" s="1324"/>
      <c r="AH13" s="1324"/>
      <c r="AI13" s="1324"/>
      <c r="AJ13" s="1324"/>
      <c r="AK13" s="1324"/>
      <c r="AM13" s="500"/>
      <c r="AN13" s="500" t="str">
        <f>IF(T13="","",T13)</f>
        <v>Добавить территорию для дифференциации</v>
      </c>
      <c r="AO13" s="500"/>
      <c r="AP13" s="500"/>
      <c r="AQ13" s="511">
        <v>0</v>
      </c>
    </row>
    <row customHeight="1" ht="14.25" hidden="1">
      <c r="AB14" s="327"/>
      <c r="AI14" s="327"/>
      <c r="AQ14" s="1155">
        <v>0</v>
      </c>
    </row>
    <row customHeight="1" ht="14.25" hidden="1">
      <c r="AC15" s="1360"/>
      <c r="AD15" s="1360"/>
      <c r="AE15" s="1361"/>
      <c r="AF15" s="2267"/>
      <c r="AG15" s="2268" t="s">
        <v>66</v>
      </c>
      <c r="AH15" s="2267"/>
      <c r="AI15" s="2268" t="s">
        <v>66</v>
      </c>
      <c r="AQ15" s="1155">
        <v>0</v>
      </c>
    </row>
    <row customHeight="1" ht="14.25" hidden="1">
      <c r="AC16" s="1360"/>
      <c r="AD16" s="1360"/>
      <c r="AE16" s="328" t="str">
        <f>AF15&amp;"-"&amp;AH15</f>
        <v>-</v>
      </c>
      <c r="AF16" s="2268"/>
      <c r="AG16" s="2268"/>
      <c r="AH16" s="2268"/>
      <c r="AI16" s="2268"/>
      <c r="AQ16" s="1155">
        <v>0</v>
      </c>
    </row>
    <row customHeight="1" ht="14.25" hidden="1">
      <c r="AI17" s="327"/>
      <c r="AQ17" s="1155">
        <v>0</v>
      </c>
    </row>
    <row s="1366" customFormat="1" customHeight="1" ht="22.5" hidden="1">
      <c r="L18" s="1447"/>
      <c r="M18" s="1362"/>
      <c r="N18" s="1362"/>
      <c r="O18" s="1367" t="s">
        <v>419</v>
      </c>
      <c r="P18" s="1362"/>
      <c r="Q18" s="1371"/>
      <c r="R18" s="1371"/>
      <c r="S18" s="729"/>
      <c r="Y18" s="1367"/>
      <c r="AA18" s="1367"/>
      <c r="AB18" s="1366"/>
      <c r="AF18" s="1367"/>
      <c r="AH18" s="1367"/>
      <c r="AI18" s="1366"/>
      <c r="AL18" s="511"/>
      <c r="AM18" s="511"/>
      <c r="AN18" s="511"/>
      <c r="AO18" s="511"/>
      <c r="AP18" s="511"/>
      <c r="AQ18" s="1160">
        <v>0</v>
      </c>
    </row>
    <row s="1366" customFormat="1" customHeight="1" ht="14.25" hidden="1">
      <c r="L19" s="1447"/>
      <c r="M19" s="1362"/>
      <c r="N19" s="1362"/>
      <c r="O19" s="1362"/>
      <c r="P19" s="1362"/>
      <c r="Q19" s="1371"/>
      <c r="R19" s="1371"/>
      <c r="S19" s="729"/>
      <c r="AB19" s="1366"/>
      <c r="AI19" s="1366"/>
      <c r="AL19" s="511"/>
      <c r="AM19" s="511"/>
      <c r="AN19" s="511"/>
      <c r="AO19" s="511"/>
      <c r="AP19" s="511"/>
      <c r="AQ19" s="1160">
        <v>0</v>
      </c>
    </row>
    <row s="1366" customFormat="1" customHeight="1" ht="12" hidden="1">
      <c r="L20" s="1447"/>
      <c r="M20" s="1362"/>
      <c r="N20" s="1362"/>
      <c r="O20" s="1364" t="s">
        <v>420</v>
      </c>
      <c r="P20" s="1362"/>
      <c r="Q20" s="1442"/>
      <c r="R20" s="1442"/>
      <c r="S20" s="729"/>
      <c r="T20" s="1160" t="s">
        <v>421</v>
      </c>
      <c r="Z20" s="186" t="s">
        <v>422</v>
      </c>
      <c r="AB20" s="186" t="s">
        <v>423</v>
      </c>
      <c r="AC20" s="1160" t="s">
        <v>421</v>
      </c>
      <c r="AG20" s="186" t="s">
        <v>424</v>
      </c>
      <c r="AI20" s="186" t="s">
        <v>423</v>
      </c>
      <c r="AQ20" s="1160">
        <v>0</v>
      </c>
    </row>
    <row customHeight="1" ht="14.25" hidden="1">
      <c r="O21" s="1364"/>
      <c r="AQ21" s="1155">
        <v>0</v>
      </c>
    </row>
    <row customHeight="1" ht="14.25" hidden="1">
      <c r="O22" s="1364"/>
      <c r="AQ22" s="1155">
        <v>0</v>
      </c>
    </row>
    <row customHeight="1" ht="14.699999999999998">
      <c r="Q23" s="376"/>
      <c r="R23" s="376"/>
      <c r="S23" s="1275"/>
      <c r="T23" s="363"/>
      <c r="U23" s="363"/>
      <c r="V23" s="509"/>
      <c r="W23" s="509"/>
      <c r="X23" s="509"/>
      <c r="Y23" s="509"/>
      <c r="Z23" s="509"/>
      <c r="AA23" s="509"/>
      <c r="AB23" s="509"/>
      <c r="AC23" s="509"/>
      <c r="AD23" s="509"/>
      <c r="AE23" s="509"/>
      <c r="AF23" s="509"/>
      <c r="AG23" s="509"/>
      <c r="AH23" s="509"/>
      <c r="AI23" s="509"/>
      <c r="AQ23" s="1155">
        <v>14</v>
      </c>
    </row>
    <row customHeight="1" ht="14.699999999999998">
      <c r="Q24" s="376"/>
      <c r="R24" s="376"/>
      <c r="S24" s="2248" t="str">
        <f>IF(TEMPLATE_GROUP="P",PT_P_FORM_COLDVSNA_4_NAME_FORM,PT_R_FORM_COLDVSNA_16_NAME_FORM)</f>
        <v>Форма 13. Информация о предложении организации холодного водоснабжения об установлении расчетной величины тарифов в сфере холодного водоснабжения</v>
      </c>
      <c r="T24" s="2248"/>
      <c r="U24" s="2248"/>
      <c r="V24" s="2248"/>
      <c r="W24" s="2248"/>
      <c r="X24" s="2248"/>
      <c r="Y24" s="2248"/>
      <c r="Z24" s="2248"/>
      <c r="AA24" s="2248"/>
      <c r="AB24" s="2248"/>
      <c r="AC24" s="2248"/>
      <c r="AD24" s="2248"/>
      <c r="AE24" s="2248"/>
      <c r="AF24" s="2248"/>
      <c r="AG24" s="2248"/>
      <c r="AH24" s="2248"/>
      <c r="AI24" s="1243"/>
      <c r="AQ24" s="1155">
        <v>14</v>
      </c>
    </row>
    <row customHeight="1" ht="14.699999999999998">
      <c r="Q25" s="376"/>
      <c r="R25" s="376"/>
      <c r="S25" s="2249" t="str">
        <f>IF(org=0,"Не определено",org)</f>
        <v>ПАО "ОГК-2"</v>
      </c>
      <c r="T25" s="2249"/>
      <c r="U25" s="2249"/>
      <c r="V25" s="2249"/>
      <c r="W25" s="2249"/>
      <c r="X25" s="2249"/>
      <c r="Y25" s="2249"/>
      <c r="Z25" s="2249"/>
      <c r="AA25" s="2249"/>
      <c r="AB25" s="2249"/>
      <c r="AC25" s="2249"/>
      <c r="AD25" s="2249"/>
      <c r="AE25" s="2249"/>
      <c r="AF25" s="2249"/>
      <c r="AG25" s="2249"/>
      <c r="AH25" s="2249"/>
      <c r="AI25" s="1243"/>
      <c r="AQ25" s="1155">
        <v>14</v>
      </c>
    </row>
    <row customHeight="1" ht="14.25" hidden="1">
      <c r="Q26" s="376"/>
      <c r="R26" s="376"/>
      <c r="S26" s="1275"/>
      <c r="T26" s="363"/>
      <c r="U26" s="363"/>
      <c r="V26" s="322"/>
      <c r="W26" s="322"/>
      <c r="X26" s="322"/>
      <c r="Y26" s="322"/>
      <c r="Z26" s="322"/>
      <c r="AA26" s="322"/>
      <c r="AB26" s="322"/>
      <c r="AC26" s="322"/>
      <c r="AD26" s="322"/>
      <c r="AE26" s="322"/>
      <c r="AF26" s="322"/>
      <c r="AG26" s="322"/>
      <c r="AH26" s="322"/>
      <c r="AI26" s="322"/>
      <c r="AJ26" s="509"/>
      <c r="AQ26" s="1155">
        <v>0</v>
      </c>
    </row>
    <row s="1853" customFormat="1" customHeight="1" ht="25.5" hidden="1">
      <c r="A27" s="1368"/>
      <c r="B27" s="1368"/>
      <c r="C27" s="1368"/>
      <c r="D27" s="1368"/>
      <c r="E27" s="1368"/>
      <c r="F27" s="1368"/>
      <c r="G27" s="1368"/>
      <c r="H27" s="1368"/>
      <c r="I27" s="1368"/>
      <c r="J27" s="1368"/>
      <c r="K27" s="1368"/>
      <c r="L27" s="1369"/>
      <c r="M27" s="1368"/>
      <c r="N27" s="1368"/>
      <c r="O27" s="1368"/>
      <c r="S27" s="2250" t="s">
        <v>42</v>
      </c>
      <c r="T27" s="2250"/>
      <c r="U27" s="1372"/>
      <c r="V27" s="2251" t="str">
        <f>IF(TITLE_NAME_OR_PR_CHANGE="",IF(TITLE_NAME_OR_PR="","",TITLE_NAME_OR_PR),TITLE_NAME_OR_PR_CHANGE)</f>
        <v/>
      </c>
      <c r="W27" s="2251"/>
      <c r="X27" s="2251"/>
      <c r="Y27" s="2251"/>
      <c r="Z27" s="2251"/>
      <c r="AA27" s="2251"/>
      <c r="AB27" s="326"/>
      <c r="AC27" s="2251" t="str">
        <f>IF(TITLE_NAME_OR_PR_CHANGE="",IF(TITLE_NAME_OR_PR="","",TITLE_NAME_OR_PR),TITLE_NAME_OR_PR_CHANGE)</f>
        <v/>
      </c>
      <c r="AD27" s="2251"/>
      <c r="AE27" s="2251"/>
      <c r="AF27" s="2251"/>
      <c r="AG27" s="2251"/>
      <c r="AH27" s="2251"/>
      <c r="AI27" s="326"/>
      <c r="AJ27" s="326"/>
      <c r="AK27" s="280"/>
      <c r="AL27" s="368"/>
      <c r="AM27" s="368"/>
      <c r="AN27" s="368"/>
      <c r="AO27" s="368"/>
      <c r="AP27" s="368"/>
      <c r="AQ27" s="418">
        <v>0</v>
      </c>
    </row>
    <row s="1853" customFormat="1" customHeight="1" ht="18.75" hidden="1">
      <c r="A28" s="1368"/>
      <c r="B28" s="1368"/>
      <c r="C28" s="1368"/>
      <c r="D28" s="1368"/>
      <c r="E28" s="1368"/>
      <c r="F28" s="1368"/>
      <c r="G28" s="1368"/>
      <c r="H28" s="1368"/>
      <c r="I28" s="1368"/>
      <c r="J28" s="1368"/>
      <c r="K28" s="1368"/>
      <c r="L28" s="1369"/>
      <c r="M28" s="1368"/>
      <c r="N28" s="1368"/>
      <c r="O28" s="1368"/>
      <c r="S28" s="2250" t="s">
        <v>425</v>
      </c>
      <c r="T28" s="2250"/>
      <c r="U28" s="1372"/>
      <c r="V28" s="2264" t="str">
        <f>IF(TITLE_DATE_PR_CHANGE="",IF(TITLE_DATE_PR="","",TITLE_DATE_PR),TITLE_DATE_PR_CHANGE)</f>
        <v/>
      </c>
      <c r="W28" s="2264"/>
      <c r="X28" s="2264"/>
      <c r="Y28" s="2264"/>
      <c r="Z28" s="2264"/>
      <c r="AA28" s="2264"/>
      <c r="AB28" s="326"/>
      <c r="AC28" s="2264" t="str">
        <f>IF(TITLE_DATE_PR_CHANGE="",IF(TITLE_DATE_PR="","",TITLE_DATE_PR),TITLE_DATE_PR_CHANGE)</f>
        <v/>
      </c>
      <c r="AD28" s="2264"/>
      <c r="AE28" s="2264"/>
      <c r="AF28" s="2264"/>
      <c r="AG28" s="2264"/>
      <c r="AH28" s="2264"/>
      <c r="AI28" s="326"/>
      <c r="AJ28" s="326"/>
      <c r="AK28" s="280"/>
      <c r="AL28" s="368"/>
      <c r="AM28" s="368"/>
      <c r="AN28" s="368"/>
      <c r="AO28" s="368"/>
      <c r="AP28" s="368"/>
      <c r="AQ28" s="418">
        <v>0</v>
      </c>
    </row>
    <row s="1853" customFormat="1" customHeight="1" ht="18.75" hidden="1">
      <c r="A29" s="1368"/>
      <c r="B29" s="1368"/>
      <c r="C29" s="1368"/>
      <c r="D29" s="1368"/>
      <c r="E29" s="1368"/>
      <c r="F29" s="1368"/>
      <c r="G29" s="1368"/>
      <c r="H29" s="1368"/>
      <c r="I29" s="1368"/>
      <c r="J29" s="1368"/>
      <c r="K29" s="1368"/>
      <c r="L29" s="1369"/>
      <c r="M29" s="1368"/>
      <c r="N29" s="1368"/>
      <c r="O29" s="1368"/>
      <c r="S29" s="2250" t="s">
        <v>426</v>
      </c>
      <c r="T29" s="2250"/>
      <c r="U29" s="1372"/>
      <c r="V29" s="2251" t="str">
        <f>IF(TITLE_NUMBER_PR_CHANGE="",IF(TITLE_NUMBER_PR="","",TITLE_NUMBER_PR),TITLE_NUMBER_PR_CHANGE)</f>
        <v/>
      </c>
      <c r="W29" s="2251"/>
      <c r="X29" s="2251"/>
      <c r="Y29" s="2251"/>
      <c r="Z29" s="2251"/>
      <c r="AA29" s="2251"/>
      <c r="AB29" s="326"/>
      <c r="AC29" s="2251" t="str">
        <f>IF(TITLE_NUMBER_PR_CHANGE="",IF(TITLE_NUMBER_PR="","",TITLE_NUMBER_PR),TITLE_NUMBER_PR_CHANGE)</f>
        <v/>
      </c>
      <c r="AD29" s="2251"/>
      <c r="AE29" s="2251"/>
      <c r="AF29" s="2251"/>
      <c r="AG29" s="2251"/>
      <c r="AH29" s="2251"/>
      <c r="AI29" s="326"/>
      <c r="AJ29" s="326"/>
      <c r="AK29" s="280"/>
      <c r="AL29" s="368"/>
      <c r="AM29" s="368"/>
      <c r="AN29" s="368"/>
      <c r="AO29" s="368"/>
      <c r="AP29" s="368"/>
      <c r="AQ29" s="418">
        <v>0</v>
      </c>
    </row>
    <row s="1853" customFormat="1" customHeight="1" ht="18.75" hidden="1">
      <c r="A30" s="1368"/>
      <c r="B30" s="1368"/>
      <c r="C30" s="1368"/>
      <c r="D30" s="1368"/>
      <c r="E30" s="1368"/>
      <c r="F30" s="1368"/>
      <c r="G30" s="1368"/>
      <c r="H30" s="1368"/>
      <c r="I30" s="1368"/>
      <c r="J30" s="1368"/>
      <c r="K30" s="1368"/>
      <c r="L30" s="1369"/>
      <c r="M30" s="1368"/>
      <c r="N30" s="1368"/>
      <c r="O30" s="1368"/>
      <c r="S30" s="2250" t="s">
        <v>43</v>
      </c>
      <c r="T30" s="2250"/>
      <c r="U30" s="1372"/>
      <c r="V30" s="2251" t="str">
        <f>IF(TITLE_IST_PUB_CHANGE="",IF(TITLE_IST_PUB="","",TITLE_IST_PUB),TITLE_IST_PUB_CHANGE)</f>
        <v/>
      </c>
      <c r="W30" s="2251"/>
      <c r="X30" s="2251"/>
      <c r="Y30" s="2251"/>
      <c r="Z30" s="2251"/>
      <c r="AA30" s="2251"/>
      <c r="AB30" s="326"/>
      <c r="AC30" s="2251" t="str">
        <f>IF(TITLE_IST_PUB_CHANGE="",IF(TITLE_IST_PUB="","",TITLE_IST_PUB),TITLE_IST_PUB_CHANGE)</f>
        <v/>
      </c>
      <c r="AD30" s="2251"/>
      <c r="AE30" s="2251"/>
      <c r="AF30" s="2251"/>
      <c r="AG30" s="2251"/>
      <c r="AH30" s="2251"/>
      <c r="AI30" s="326"/>
      <c r="AJ30" s="326"/>
      <c r="AK30" s="280"/>
      <c r="AL30" s="368"/>
      <c r="AM30" s="368"/>
      <c r="AN30" s="368"/>
      <c r="AO30" s="368"/>
      <c r="AP30" s="368"/>
      <c r="AQ30" s="418">
        <v>0</v>
      </c>
    </row>
    <row customHeight="1" ht="14.25" hidden="1">
      <c r="Q31" s="376"/>
      <c r="R31" s="376"/>
      <c r="S31" s="1275"/>
      <c r="T31" s="363"/>
      <c r="U31" s="363"/>
      <c r="V31" s="322"/>
      <c r="W31" s="322"/>
      <c r="X31" s="322"/>
      <c r="Y31" s="322"/>
      <c r="Z31" s="322"/>
      <c r="AA31" s="322"/>
      <c r="AB31" s="322"/>
      <c r="AC31" s="322"/>
      <c r="AD31" s="322"/>
      <c r="AE31" s="322"/>
      <c r="AF31" s="322"/>
      <c r="AG31" s="322"/>
      <c r="AH31" s="322"/>
      <c r="AI31" s="322"/>
      <c r="AJ31" s="509"/>
      <c r="AQ31" s="1155">
        <v>0</v>
      </c>
    </row>
    <row s="1853" customFormat="1" customHeight="1" ht="18.75" hidden="1">
      <c r="A32" s="1368"/>
      <c r="B32" s="1368"/>
      <c r="C32" s="1368"/>
      <c r="D32" s="1368"/>
      <c r="E32" s="1368"/>
      <c r="F32" s="1368"/>
      <c r="G32" s="1368"/>
      <c r="H32" s="1368"/>
      <c r="I32" s="1368"/>
      <c r="J32" s="1368"/>
      <c r="K32" s="1368"/>
      <c r="L32" s="1369"/>
      <c r="M32" s="1368"/>
      <c r="N32" s="1368"/>
      <c r="O32" s="1368"/>
      <c r="S32" s="2250" t="s">
        <v>427</v>
      </c>
      <c r="T32" s="2250"/>
      <c r="U32" s="1372"/>
      <c r="V32" s="2264" t="str">
        <f>IF(TITLE_DATE_PR_CHANGE="",IF(TITLE_DATE_PR="","",TITLE_DATE_PR),TITLE_DATE_PR_CHANGE)</f>
        <v/>
      </c>
      <c r="W32" s="2264"/>
      <c r="X32" s="2264"/>
      <c r="Y32" s="2264"/>
      <c r="Z32" s="2264"/>
      <c r="AA32" s="2264"/>
      <c r="AB32" s="326"/>
      <c r="AC32" s="2264" t="str">
        <f>IF(TITLE_DATE_PR_CHANGE="",IF(TITLE_DATE_PR="","",TITLE_DATE_PR),TITLE_DATE_PR_CHANGE)</f>
        <v/>
      </c>
      <c r="AD32" s="2264"/>
      <c r="AE32" s="2264"/>
      <c r="AF32" s="2264"/>
      <c r="AG32" s="2264"/>
      <c r="AH32" s="2264"/>
      <c r="AI32" s="326"/>
      <c r="AJ32" s="326"/>
      <c r="AK32" s="280"/>
      <c r="AL32" s="368"/>
      <c r="AM32" s="368"/>
      <c r="AN32" s="368"/>
      <c r="AO32" s="368"/>
      <c r="AP32" s="368"/>
      <c r="AQ32" s="418">
        <v>0</v>
      </c>
    </row>
    <row s="1853" customFormat="1" customHeight="1" ht="18.75" hidden="1">
      <c r="A33" s="1368"/>
      <c r="B33" s="1368"/>
      <c r="C33" s="1368"/>
      <c r="D33" s="1368"/>
      <c r="E33" s="1368"/>
      <c r="F33" s="1368"/>
      <c r="G33" s="1368"/>
      <c r="H33" s="1368"/>
      <c r="I33" s="1368"/>
      <c r="J33" s="1368"/>
      <c r="K33" s="1368"/>
      <c r="L33" s="1369"/>
      <c r="M33" s="1368"/>
      <c r="N33" s="1368"/>
      <c r="O33" s="1368"/>
      <c r="S33" s="2250" t="s">
        <v>428</v>
      </c>
      <c r="T33" s="2250"/>
      <c r="U33" s="1372"/>
      <c r="V33" s="2251" t="str">
        <f>IF(TITLE_NUMBER_PR_CHANGE="",IF(TITLE_NUMBER_PR="","",TITLE_NUMBER_PR),TITLE_NUMBER_PR_CHANGE)</f>
        <v/>
      </c>
      <c r="W33" s="2251"/>
      <c r="X33" s="2251"/>
      <c r="Y33" s="2251"/>
      <c r="Z33" s="2251"/>
      <c r="AA33" s="2251"/>
      <c r="AB33" s="326"/>
      <c r="AC33" s="2251" t="str">
        <f>IF(TITLE_NUMBER_PR_CHANGE="",IF(TITLE_NUMBER_PR="","",TITLE_NUMBER_PR),TITLE_NUMBER_PR_CHANGE)</f>
        <v/>
      </c>
      <c r="AD33" s="2251"/>
      <c r="AE33" s="2251"/>
      <c r="AF33" s="2251"/>
      <c r="AG33" s="2251"/>
      <c r="AH33" s="2251"/>
      <c r="AI33" s="326"/>
      <c r="AJ33" s="326"/>
      <c r="AK33" s="280"/>
      <c r="AL33" s="368"/>
      <c r="AM33" s="368"/>
      <c r="AN33" s="368"/>
      <c r="AO33" s="368"/>
      <c r="AP33" s="368"/>
      <c r="AQ33" s="418">
        <v>0</v>
      </c>
    </row>
    <row s="1853" customFormat="1" customHeight="1" ht="1.05">
      <c r="A34" s="1368"/>
      <c r="B34" s="1368"/>
      <c r="C34" s="1368"/>
      <c r="D34" s="1368"/>
      <c r="E34" s="1368"/>
      <c r="F34" s="1368"/>
      <c r="G34" s="1368"/>
      <c r="H34" s="1368"/>
      <c r="I34" s="1368"/>
      <c r="J34" s="1368"/>
      <c r="K34" s="1368"/>
      <c r="L34" s="1369"/>
      <c r="M34" s="1368"/>
      <c r="N34" s="1368"/>
      <c r="O34" s="1368"/>
      <c r="S34" s="323"/>
      <c r="T34" s="323"/>
      <c r="U34" s="1454"/>
      <c r="V34" s="326"/>
      <c r="W34" s="326"/>
      <c r="X34" s="326"/>
      <c r="Y34" s="326"/>
      <c r="Z34" s="326"/>
      <c r="AA34" s="326"/>
      <c r="AB34" s="278" t="s">
        <v>429</v>
      </c>
      <c r="AC34" s="326"/>
      <c r="AD34" s="326"/>
      <c r="AE34" s="326"/>
      <c r="AF34" s="326"/>
      <c r="AG34" s="326"/>
      <c r="AH34" s="326"/>
      <c r="AI34" s="278" t="s">
        <v>429</v>
      </c>
      <c r="AL34" s="368"/>
      <c r="AM34" s="368"/>
      <c r="AN34" s="368"/>
      <c r="AO34" s="368"/>
      <c r="AP34" s="368"/>
      <c r="AQ34" s="418">
        <v>1</v>
      </c>
    </row>
    <row customHeight="1" ht="14.699999999999998">
      <c r="Q35" s="376"/>
      <c r="R35" s="376"/>
      <c r="S35" s="1275"/>
      <c r="T35" s="363"/>
      <c r="U35" s="1244"/>
      <c r="V35" s="2252"/>
      <c r="W35" s="2252"/>
      <c r="X35" s="2252"/>
      <c r="Y35" s="2252"/>
      <c r="Z35" s="2252"/>
      <c r="AA35" s="2252"/>
      <c r="AB35" s="2252"/>
      <c r="AC35" s="2252"/>
      <c r="AD35" s="2252"/>
      <c r="AE35" s="2252"/>
      <c r="AF35" s="2252"/>
      <c r="AG35" s="2252"/>
      <c r="AH35" s="2252"/>
      <c r="AI35" s="2252"/>
      <c r="AQ35" s="1155">
        <v>14</v>
      </c>
    </row>
    <row customHeight="1" ht="14.699999999999998">
      <c r="Q36" s="376"/>
      <c r="R36" s="376"/>
      <c r="S36" s="2127" t="s">
        <v>302</v>
      </c>
      <c r="T36" s="2127"/>
      <c r="U36" s="2127"/>
      <c r="V36" s="2127"/>
      <c r="W36" s="2127"/>
      <c r="X36" s="2127"/>
      <c r="Y36" s="2127"/>
      <c r="Z36" s="2127"/>
      <c r="AA36" s="2127"/>
      <c r="AB36" s="2127"/>
      <c r="AC36" s="2127"/>
      <c r="AD36" s="2127"/>
      <c r="AE36" s="2127"/>
      <c r="AF36" s="2127"/>
      <c r="AG36" s="2127"/>
      <c r="AH36" s="2127"/>
      <c r="AI36" s="2127"/>
      <c r="AJ36" s="2127"/>
      <c r="AK36" s="2127" t="s">
        <v>303</v>
      </c>
      <c r="AQ36" s="1155">
        <v>14</v>
      </c>
    </row>
    <row customHeight="1" ht="14.699999999999998">
      <c r="Q37" s="376"/>
      <c r="R37" s="376"/>
      <c r="S37" s="2273" t="s">
        <v>88</v>
      </c>
      <c r="T37" s="2209" t="s">
        <v>430</v>
      </c>
      <c r="U37" s="301"/>
      <c r="V37" s="2274" t="s">
        <v>431</v>
      </c>
      <c r="W37" s="2275"/>
      <c r="X37" s="2275"/>
      <c r="Y37" s="2275"/>
      <c r="Z37" s="2275"/>
      <c r="AA37" s="2276"/>
      <c r="AB37" s="2277" t="s">
        <v>432</v>
      </c>
      <c r="AC37" s="2274" t="s">
        <v>431</v>
      </c>
      <c r="AD37" s="2275"/>
      <c r="AE37" s="2275"/>
      <c r="AF37" s="2275"/>
      <c r="AG37" s="2275"/>
      <c r="AH37" s="2276"/>
      <c r="AI37" s="2277" t="s">
        <v>433</v>
      </c>
      <c r="AJ37" s="2280" t="s">
        <v>434</v>
      </c>
      <c r="AK37" s="2127"/>
      <c r="AQ37" s="1155">
        <v>14</v>
      </c>
    </row>
    <row customHeight="1" ht="35.699999999999996">
      <c r="Q38" s="376"/>
      <c r="R38" s="376"/>
      <c r="S38" s="2273"/>
      <c r="T38" s="2209"/>
      <c r="U38" s="1031"/>
      <c r="V38" s="1452" t="s">
        <v>491</v>
      </c>
      <c r="W38" s="2262" t="s">
        <v>437</v>
      </c>
      <c r="X38" s="2263"/>
      <c r="Y38" s="2262" t="s">
        <v>438</v>
      </c>
      <c r="Z38" s="2269"/>
      <c r="AA38" s="2263"/>
      <c r="AB38" s="2278"/>
      <c r="AC38" s="1452" t="s">
        <v>491</v>
      </c>
      <c r="AD38" s="2262" t="s">
        <v>437</v>
      </c>
      <c r="AE38" s="2263"/>
      <c r="AF38" s="2262" t="s">
        <v>438</v>
      </c>
      <c r="AG38" s="2269"/>
      <c r="AH38" s="2263"/>
      <c r="AI38" s="2278"/>
      <c r="AJ38" s="2281"/>
      <c r="AK38" s="2127"/>
      <c r="AQ38" s="1155">
        <v>34</v>
      </c>
    </row>
    <row customHeight="1" ht="35.699999999999996">
      <c r="A39" s="1370"/>
      <c r="B39" s="1370" t="s">
        <v>139</v>
      </c>
      <c r="C39" s="1370" t="s">
        <v>140</v>
      </c>
      <c r="D39" s="1370" t="s">
        <v>141</v>
      </c>
      <c r="E39" s="1364" t="s">
        <v>439</v>
      </c>
      <c r="F39" s="1364" t="s">
        <v>440</v>
      </c>
      <c r="G39" s="1364" t="s">
        <v>441</v>
      </c>
      <c r="H39" s="1364"/>
      <c r="I39" s="1364" t="s">
        <v>492</v>
      </c>
      <c r="J39" s="1364" t="s">
        <v>444</v>
      </c>
      <c r="K39" s="1364" t="s">
        <v>493</v>
      </c>
      <c r="L39" s="1364" t="s">
        <v>420</v>
      </c>
      <c r="Q39" s="376"/>
      <c r="R39" s="376"/>
      <c r="S39" s="2273"/>
      <c r="T39" s="2209"/>
      <c r="U39" s="302"/>
      <c r="V39" s="1452" t="s">
        <v>494</v>
      </c>
      <c r="W39" s="1222" t="s">
        <v>495</v>
      </c>
      <c r="X39" s="1222" t="s">
        <v>496</v>
      </c>
      <c r="Y39" s="1455" t="s">
        <v>448</v>
      </c>
      <c r="Z39" s="2270" t="s">
        <v>449</v>
      </c>
      <c r="AA39" s="2271"/>
      <c r="AB39" s="2279"/>
      <c r="AC39" s="1452" t="s">
        <v>494</v>
      </c>
      <c r="AD39" s="1222" t="s">
        <v>495</v>
      </c>
      <c r="AE39" s="1222" t="s">
        <v>496</v>
      </c>
      <c r="AF39" s="1455" t="s">
        <v>448</v>
      </c>
      <c r="AG39" s="2270" t="s">
        <v>449</v>
      </c>
      <c r="AH39" s="2271"/>
      <c r="AI39" s="2279"/>
      <c r="AJ39" s="2282"/>
      <c r="AK39" s="2127"/>
      <c r="AQ39" s="1155">
        <v>34</v>
      </c>
    </row>
    <row s="1641" customFormat="1" customHeight="1" ht="0">
      <c r="A40" s="1370"/>
      <c r="B40" s="1370"/>
      <c r="C40" s="1370"/>
      <c r="D40" s="1370"/>
      <c r="E40" s="1370"/>
      <c r="F40" s="1370"/>
      <c r="G40" s="1370"/>
      <c r="H40" s="1370"/>
      <c r="I40" s="1370"/>
      <c r="J40" s="1370"/>
      <c r="K40" s="1370"/>
      <c r="L40" s="1364"/>
      <c r="M40" s="1362"/>
      <c r="N40" s="1362"/>
      <c r="O40" s="1362"/>
      <c r="P40" s="1246"/>
      <c r="Q40" s="1247"/>
      <c r="R40" s="1254">
        <v>1</v>
      </c>
      <c r="S40" s="1277" t="s">
        <v>109</v>
      </c>
      <c r="T40" s="1255" t="s">
        <v>110</v>
      </c>
      <c r="U40" s="1245" t="str">
        <f>OFFSET(U40,0,-1)</f>
        <v>2</v>
      </c>
      <c r="V40" s="1451">
        <f>OFFSET(V40,0,-1)+1</f>
        <v>3</v>
      </c>
      <c r="W40" s="1451">
        <f>OFFSET(W40,0,-1)+1</f>
        <v>4</v>
      </c>
      <c r="X40" s="1451">
        <f>OFFSET(X40,0,-1)+1</f>
        <v>5</v>
      </c>
      <c r="Y40" s="1451">
        <f>OFFSET(Y40,0,-1)+1</f>
        <v>6</v>
      </c>
      <c r="Z40" s="2272">
        <f>OFFSET(Z40,0,-1)+1</f>
        <v>7</v>
      </c>
      <c r="AA40" s="2272"/>
      <c r="AB40" s="1451">
        <f>OFFSET(AB40,0,-2)+1</f>
        <v>8</v>
      </c>
      <c r="AC40" s="1451">
        <f>OFFSET(AC40,0,-1)+1</f>
        <v>9</v>
      </c>
      <c r="AD40" s="1451">
        <f>OFFSET(AD40,0,-1)+1</f>
        <v>10</v>
      </c>
      <c r="AE40" s="1451">
        <f>OFFSET(AE40,0,-1)+1</f>
        <v>11</v>
      </c>
      <c r="AF40" s="1451">
        <f>OFFSET(AF40,0,-1)+1</f>
        <v>12</v>
      </c>
      <c r="AG40" s="2272">
        <f>OFFSET(AG40,0,-1)+1</f>
        <v>13</v>
      </c>
      <c r="AH40" s="2272"/>
      <c r="AI40" s="1451">
        <f>OFFSET(AI40,0,-2)+1</f>
        <v>14</v>
      </c>
      <c r="AJ40" s="1245">
        <f>OFFSET(AJ40,0,-1)</f>
        <v>14</v>
      </c>
      <c r="AK40" s="1451">
        <f>OFFSET(AK40,0,-1)+1</f>
        <v>15</v>
      </c>
      <c r="AL40" s="511"/>
      <c r="AM40" s="511"/>
      <c r="AN40" s="511"/>
      <c r="AO40" s="511"/>
      <c r="AP40" s="511"/>
      <c r="AQ40" s="496">
        <v>0</v>
      </c>
    </row>
    <row customHeight="1" ht="24">
      <c r="A41" s="1363" t="s">
        <v>243</v>
      </c>
      <c r="B41" s="1363"/>
      <c r="C41" s="1363"/>
      <c r="D41" s="1363"/>
      <c r="E41" s="2258">
        <v>1</v>
      </c>
      <c r="F41" s="1363"/>
      <c r="G41" s="1363"/>
      <c r="H41" s="1363"/>
      <c r="I41" s="1363"/>
      <c r="J41" s="1363"/>
      <c r="K41" s="1363"/>
      <c r="L41" s="1364"/>
      <c r="M41" s="1365"/>
      <c r="N41" s="1365"/>
      <c r="O41" s="1365"/>
      <c r="P41" s="361"/>
      <c r="Q41" s="360"/>
      <c r="R41" s="355"/>
      <c r="S41" s="1457">
        <f>INDEX(PT_DIFFERENTIATION_NUM_NTAR,MATCH(A41,PT_DIFFERENTIATION_NTAR_ID,0))</f>
        <v>0</v>
      </c>
      <c r="T41" s="298" t="s">
        <v>127</v>
      </c>
      <c r="U41" s="300"/>
      <c r="V41" s="2242"/>
      <c r="W41" s="2243"/>
      <c r="X41" s="2243"/>
      <c r="Y41" s="2243"/>
      <c r="Z41" s="2243"/>
      <c r="AA41" s="2243"/>
      <c r="AB41" s="2244"/>
      <c r="AC41" s="2242" t="str">
        <f>INDEX(PT_DIFFERENTIATION_NTAR,MATCH(A41,PT_DIFFERENTIATION_NTAR_ID,0))</f>
        <v/>
      </c>
      <c r="AD41" s="2243"/>
      <c r="AE41" s="2243"/>
      <c r="AF41" s="2243"/>
      <c r="AG41" s="2243"/>
      <c r="AH41" s="2243"/>
      <c r="AI41" s="2243"/>
      <c r="AJ41" s="2244"/>
      <c r="AK41"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00"/>
      <c r="AN41" s="500" t="str">
        <f>IF(T41="","",T41)</f>
        <v>Наименование тарифа</v>
      </c>
      <c r="AO41" s="500"/>
      <c r="AP41" s="500"/>
      <c r="AQ41" s="1155">
        <v>23</v>
      </c>
    </row>
    <row customHeight="1" ht="24">
      <c r="A42" s="1363" t="s">
        <v>243</v>
      </c>
      <c r="B42" s="1363" t="s">
        <v>244</v>
      </c>
      <c r="C42" s="1363"/>
      <c r="D42" s="1363"/>
      <c r="E42" s="2259"/>
      <c r="F42" s="2258">
        <v>1</v>
      </c>
      <c r="G42" s="1363"/>
      <c r="H42" s="1363"/>
      <c r="I42" s="1363"/>
      <c r="J42" s="1363"/>
      <c r="K42" s="1363"/>
      <c r="L42" s="1364"/>
      <c r="M42" s="1365"/>
      <c r="N42" s="1365"/>
      <c r="O42" s="1365"/>
      <c r="P42" s="1453"/>
      <c r="Q42" s="352"/>
      <c r="R42" s="353"/>
      <c r="S42" s="1457" t="str">
        <f>INDEX(PT_DIFFERENTIATION_NUM_TER,MATCH(B42,PT_DIFFERENTIATION_TER_ID,0))</f>
        <v>.</v>
      </c>
      <c r="T42" s="308" t="s">
        <v>399</v>
      </c>
      <c r="U42" s="300"/>
      <c r="V42" s="2242"/>
      <c r="W42" s="2243"/>
      <c r="X42" s="2243"/>
      <c r="Y42" s="2243"/>
      <c r="Z42" s="2243"/>
      <c r="AA42" s="2243"/>
      <c r="AB42" s="2244"/>
      <c r="AC42" s="2242" t="str">
        <f>INDEX(PT_DIFFERENTIATION_TER,MATCH(B42,PT_DIFFERENTIATION_TER_ID,0))</f>
        <v/>
      </c>
      <c r="AD42" s="2243"/>
      <c r="AE42" s="2243"/>
      <c r="AF42" s="2243"/>
      <c r="AG42" s="2243"/>
      <c r="AH42" s="2243"/>
      <c r="AI42" s="2243"/>
      <c r="AJ42" s="2244"/>
      <c r="AK42" s="1258" t="s">
        <v>400</v>
      </c>
      <c r="AM42" s="500"/>
      <c r="AN42" s="500" t="str">
        <f>IF(T42="","",T42)</f>
        <v>Территория действия тарифа</v>
      </c>
      <c r="AO42" s="500"/>
      <c r="AP42" s="500"/>
      <c r="AQ42" s="1155">
        <v>23</v>
      </c>
    </row>
    <row customHeight="1" ht="24">
      <c r="A43" s="1363" t="s">
        <v>243</v>
      </c>
      <c r="B43" s="1363" t="s">
        <v>244</v>
      </c>
      <c r="C43" s="1363" t="s">
        <v>245</v>
      </c>
      <c r="D43" s="1363"/>
      <c r="E43" s="2259"/>
      <c r="F43" s="2259"/>
      <c r="G43" s="2258">
        <v>1</v>
      </c>
      <c r="H43" s="1363"/>
      <c r="I43" s="1363"/>
      <c r="J43" s="1363"/>
      <c r="K43" s="1363"/>
      <c r="L43" s="1364"/>
      <c r="M43" s="1365"/>
      <c r="N43" s="1365"/>
      <c r="O43" s="1365"/>
      <c r="P43" s="354"/>
      <c r="Q43" s="352"/>
      <c r="R43" s="353"/>
      <c r="S43" s="1457" t="str">
        <f>INDEX(PT_DIFFERENTIATION_NUM_CS,MATCH(C43,PT_DIFFERENTIATION_CS_ID,0))</f>
        <v>..</v>
      </c>
      <c r="T43" s="309" t="s">
        <v>483</v>
      </c>
      <c r="U43" s="300"/>
      <c r="V43" s="2242"/>
      <c r="W43" s="2243"/>
      <c r="X43" s="2243"/>
      <c r="Y43" s="2243"/>
      <c r="Z43" s="2243"/>
      <c r="AA43" s="2243"/>
      <c r="AB43" s="2244"/>
      <c r="AC43" s="2242" t="str">
        <f>INDEX(PT_DIFFERENTIATION_CS,MATCH(C43,PT_DIFFERENTIATION_CS_ID,0))</f>
        <v/>
      </c>
      <c r="AD43" s="2243"/>
      <c r="AE43" s="2243"/>
      <c r="AF43" s="2243"/>
      <c r="AG43" s="2243"/>
      <c r="AH43" s="2243"/>
      <c r="AI43" s="2243"/>
      <c r="AJ43" s="2244"/>
      <c r="AK43" s="1258" t="s">
        <v>484</v>
      </c>
      <c r="AM43" s="500"/>
      <c r="AN43" s="500" t="str">
        <f>IF(T43="","",T43)</f>
        <v>Наименование централизованной системы холодного водоснабжения</v>
      </c>
      <c r="AO43" s="500"/>
      <c r="AP43" s="500"/>
      <c r="AQ43" s="1155">
        <v>23</v>
      </c>
    </row>
    <row customHeight="1" ht="24">
      <c r="A44" s="1363" t="s">
        <v>243</v>
      </c>
      <c r="B44" s="1363" t="s">
        <v>244</v>
      </c>
      <c r="C44" s="1363" t="s">
        <v>245</v>
      </c>
      <c r="D44" s="1363" t="s">
        <v>500</v>
      </c>
      <c r="E44" s="2259"/>
      <c r="F44" s="2259"/>
      <c r="G44" s="2259"/>
      <c r="H44" s="2259"/>
      <c r="I44" s="2256" t="str">
        <f>S43&amp;".1"</f>
        <v>...1</v>
      </c>
      <c r="J44" s="1363"/>
      <c r="K44" s="1363"/>
      <c r="L44" s="1364"/>
      <c r="P44" s="2257">
        <v>1</v>
      </c>
      <c r="Q44" s="1450"/>
      <c r="R44" s="356"/>
      <c r="S44" s="1457" t="str">
        <f>$I44</f>
        <v>...1</v>
      </c>
      <c r="T44" s="285" t="s">
        <v>485</v>
      </c>
      <c r="U44" s="300"/>
      <c r="V44" s="2350"/>
      <c r="W44" s="2351"/>
      <c r="X44" s="2351"/>
      <c r="Y44" s="2351"/>
      <c r="Z44" s="2351"/>
      <c r="AA44" s="2351"/>
      <c r="AB44" s="2352"/>
      <c r="AC44" s="2353"/>
      <c r="AD44" s="2354"/>
      <c r="AE44" s="2354"/>
      <c r="AF44" s="2354"/>
      <c r="AG44" s="2354"/>
      <c r="AH44" s="2354"/>
      <c r="AI44" s="2354"/>
      <c r="AJ44" s="2355"/>
      <c r="AK44" s="1258" t="s">
        <v>486</v>
      </c>
      <c r="AM44" s="500"/>
      <c r="AN44" s="500" t="str">
        <f>IF(T44="","",T44)</f>
        <v>Наименование признака дифференциации</v>
      </c>
      <c r="AO44" s="500"/>
      <c r="AP44" s="500"/>
      <c r="AQ44" s="1155">
        <v>23</v>
      </c>
    </row>
    <row customHeight="1" ht="24">
      <c r="A45" s="1363" t="s">
        <v>243</v>
      </c>
      <c r="B45" s="1363" t="s">
        <v>244</v>
      </c>
      <c r="C45" s="1363" t="s">
        <v>245</v>
      </c>
      <c r="D45" s="1363" t="s">
        <v>500</v>
      </c>
      <c r="E45" s="2259"/>
      <c r="F45" s="2259"/>
      <c r="G45" s="2259"/>
      <c r="H45" s="2259"/>
      <c r="I45" s="2286"/>
      <c r="J45" s="2256" t="str">
        <f>I44&amp;".1"</f>
        <v>...1.1</v>
      </c>
      <c r="K45" s="1363"/>
      <c r="L45" s="1364" t="s">
        <v>408</v>
      </c>
      <c r="P45" s="2257"/>
      <c r="Q45" s="2257">
        <v>1</v>
      </c>
      <c r="R45" s="357"/>
      <c r="S45" s="1457" t="str">
        <f>$J45</f>
        <v>...1.1</v>
      </c>
      <c r="T45" s="286" t="s">
        <v>409</v>
      </c>
      <c r="U45" s="300"/>
      <c r="V45" s="2245"/>
      <c r="W45" s="2246"/>
      <c r="X45" s="2246"/>
      <c r="Y45" s="2246"/>
      <c r="Z45" s="2246"/>
      <c r="AA45" s="2246"/>
      <c r="AB45" s="2247"/>
      <c r="AC45" s="2245"/>
      <c r="AD45" s="2246"/>
      <c r="AE45" s="2246"/>
      <c r="AF45" s="2246"/>
      <c r="AG45" s="2246"/>
      <c r="AH45" s="2246"/>
      <c r="AI45" s="2246"/>
      <c r="AJ45" s="2247"/>
      <c r="AK45" s="1307" t="s">
        <v>487</v>
      </c>
      <c r="AM45" s="500"/>
      <c r="AN45" s="500" t="str">
        <f>IF(T45="","",T45)</f>
        <v>Группа потребителей</v>
      </c>
      <c r="AO45" s="500"/>
      <c r="AP45" s="500"/>
      <c r="AQ45" s="1155">
        <v>23</v>
      </c>
    </row>
    <row customHeight="1" ht="24">
      <c r="A46" s="1363" t="s">
        <v>243</v>
      </c>
      <c r="B46" s="1363" t="s">
        <v>244</v>
      </c>
      <c r="C46" s="1363" t="s">
        <v>245</v>
      </c>
      <c r="D46" s="1363" t="s">
        <v>500</v>
      </c>
      <c r="E46" s="2259"/>
      <c r="F46" s="2259"/>
      <c r="G46" s="2259"/>
      <c r="H46" s="2259"/>
      <c r="I46" s="2286"/>
      <c r="J46" s="2286"/>
      <c r="K46" s="2256" t="str">
        <f>J45&amp;".1"</f>
        <v>...1.1.1</v>
      </c>
      <c r="L46" s="1364"/>
      <c r="P46" s="2257"/>
      <c r="Q46" s="2257"/>
      <c r="R46" s="357">
        <v>1</v>
      </c>
      <c r="S46" s="1457" t="str">
        <f>$K46</f>
        <v>...1.1.1</v>
      </c>
      <c r="T46" s="1437"/>
      <c r="U46" s="300"/>
      <c r="V46" s="751"/>
      <c r="W46" s="751"/>
      <c r="X46" s="1257"/>
      <c r="Y46" s="2265"/>
      <c r="Z46" s="2107" t="s">
        <v>66</v>
      </c>
      <c r="AA46" s="2265"/>
      <c r="AB46" s="2107" t="s">
        <v>66</v>
      </c>
      <c r="AC46" s="751"/>
      <c r="AD46" s="751"/>
      <c r="AE46" s="1257"/>
      <c r="AF46" s="2265"/>
      <c r="AG46" s="2107" t="s">
        <v>66</v>
      </c>
      <c r="AH46" s="2287"/>
      <c r="AI46" s="2107" t="s">
        <v>66</v>
      </c>
      <c r="AJ46" s="1438"/>
      <c r="AK46" s="234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1">
        <f>STRCHECKDATE(V47:AJ47)</f>
      </c>
      <c r="AM46" s="500"/>
      <c r="AN46" s="500" t="str">
        <f>IF(T46="","",T46)</f>
        <v/>
      </c>
      <c r="AO46" s="500"/>
      <c r="AP46" s="500"/>
      <c r="AQ46" s="1155">
        <v>23</v>
      </c>
    </row>
    <row customHeight="1" ht="0">
      <c r="A47" s="1363" t="s">
        <v>243</v>
      </c>
      <c r="B47" s="1363" t="s">
        <v>244</v>
      </c>
      <c r="C47" s="1363" t="s">
        <v>245</v>
      </c>
      <c r="D47" s="1363" t="s">
        <v>500</v>
      </c>
      <c r="E47" s="2259"/>
      <c r="F47" s="2259"/>
      <c r="G47" s="2259"/>
      <c r="H47" s="2259"/>
      <c r="I47" s="2286"/>
      <c r="J47" s="2286"/>
      <c r="K47" s="2256"/>
      <c r="L47" s="1364"/>
      <c r="P47" s="2257"/>
      <c r="Q47" s="2257"/>
      <c r="R47" s="357"/>
      <c r="S47" s="1456"/>
      <c r="T47" s="300"/>
      <c r="U47" s="300"/>
      <c r="V47" s="325"/>
      <c r="W47" s="325"/>
      <c r="X47" s="328" t="str">
        <f>Y46&amp;"-"&amp;AA46</f>
        <v>-</v>
      </c>
      <c r="Y47" s="2266"/>
      <c r="Z47" s="2107"/>
      <c r="AA47" s="2266"/>
      <c r="AB47" s="2107"/>
      <c r="AC47" s="325"/>
      <c r="AD47" s="325"/>
      <c r="AE47" s="328" t="str">
        <f>AF46&amp;"-"&amp;AH46</f>
        <v>-</v>
      </c>
      <c r="AF47" s="2266"/>
      <c r="AG47" s="2107"/>
      <c r="AH47" s="2288"/>
      <c r="AI47" s="2107"/>
      <c r="AJ47" s="1439"/>
      <c r="AK47" s="2349"/>
      <c r="AM47" s="500"/>
      <c r="AN47" s="500" t="str">
        <f>IF(T47="","",T47)</f>
        <v/>
      </c>
      <c r="AO47" s="500"/>
      <c r="AP47" s="500"/>
      <c r="AQ47" s="1155">
        <v>0</v>
      </c>
    </row>
    <row customHeight="1" ht="21">
      <c r="A48" s="1363" t="s">
        <v>243</v>
      </c>
      <c r="B48" s="1363" t="s">
        <v>244</v>
      </c>
      <c r="C48" s="1363" t="s">
        <v>245</v>
      </c>
      <c r="D48" s="1363" t="s">
        <v>500</v>
      </c>
      <c r="E48" s="2259"/>
      <c r="F48" s="2259"/>
      <c r="G48" s="2259"/>
      <c r="H48" s="2259"/>
      <c r="I48" s="2286"/>
      <c r="J48" s="2256"/>
      <c r="K48" s="1363"/>
      <c r="L48" s="1364"/>
      <c r="P48" s="2257"/>
      <c r="Q48" s="2257"/>
      <c r="R48" s="356"/>
      <c r="S48" s="1278"/>
      <c r="T48" s="287" t="s">
        <v>488</v>
      </c>
      <c r="U48" s="367"/>
      <c r="V48" s="367"/>
      <c r="W48" s="367"/>
      <c r="X48" s="367"/>
      <c r="Y48" s="367"/>
      <c r="Z48" s="367"/>
      <c r="AA48" s="367"/>
      <c r="AB48" s="367"/>
      <c r="AC48" s="367"/>
      <c r="AD48" s="367"/>
      <c r="AE48" s="367"/>
      <c r="AF48" s="367"/>
      <c r="AG48" s="367"/>
      <c r="AH48" s="367"/>
      <c r="AI48" s="367"/>
      <c r="AJ48" s="367"/>
      <c r="AK48" s="1258" t="s">
        <v>489</v>
      </c>
      <c r="AM48" s="500"/>
      <c r="AN48" s="500" t="str">
        <f>IF(T48="","",T48)</f>
        <v>Добавить значение признака дифференциации</v>
      </c>
      <c r="AO48" s="500"/>
      <c r="AP48" s="500"/>
      <c r="AQ48" s="1155">
        <v>20</v>
      </c>
    </row>
    <row customHeight="1" ht="22.049999999999997">
      <c r="A49" s="1363" t="s">
        <v>243</v>
      </c>
      <c r="B49" s="1363" t="s">
        <v>244</v>
      </c>
      <c r="C49" s="1363" t="s">
        <v>245</v>
      </c>
      <c r="D49" s="1363" t="s">
        <v>500</v>
      </c>
      <c r="E49" s="2259"/>
      <c r="F49" s="2259"/>
      <c r="G49" s="2259"/>
      <c r="H49" s="2259"/>
      <c r="I49" s="2256"/>
      <c r="J49" s="1363"/>
      <c r="K49" s="1363"/>
      <c r="L49" s="1364"/>
      <c r="P49" s="2257"/>
      <c r="Q49" s="1450"/>
      <c r="R49" s="356"/>
      <c r="S49" s="1278"/>
      <c r="T49" s="365" t="s">
        <v>414</v>
      </c>
      <c r="U49" s="367"/>
      <c r="V49" s="367"/>
      <c r="W49" s="367"/>
      <c r="X49" s="367"/>
      <c r="Y49" s="367"/>
      <c r="Z49" s="367"/>
      <c r="AA49" s="367"/>
      <c r="AB49" s="366"/>
      <c r="AC49" s="367"/>
      <c r="AD49" s="367"/>
      <c r="AE49" s="367"/>
      <c r="AF49" s="367"/>
      <c r="AG49" s="367"/>
      <c r="AH49" s="367"/>
      <c r="AI49" s="366"/>
      <c r="AJ49" s="367"/>
      <c r="AK49" s="1440"/>
      <c r="AM49" s="500"/>
      <c r="AN49" s="500" t="str">
        <f>IF(T49="","",T49)</f>
        <v>Добавить группу потребителей</v>
      </c>
      <c r="AO49" s="500"/>
      <c r="AP49" s="500"/>
      <c r="AQ49" s="1155">
        <v>21</v>
      </c>
    </row>
    <row customHeight="1" ht="22.049999999999997">
      <c r="A50" s="1363" t="s">
        <v>243</v>
      </c>
      <c r="B50" s="1363" t="s">
        <v>244</v>
      </c>
      <c r="C50" s="1363" t="s">
        <v>245</v>
      </c>
      <c r="D50" s="1363" t="s">
        <v>500</v>
      </c>
      <c r="E50" s="2259"/>
      <c r="F50" s="2259"/>
      <c r="G50" s="2259"/>
      <c r="H50" s="2258"/>
      <c r="I50" s="1363"/>
      <c r="J50" s="1363"/>
      <c r="K50" s="1363"/>
      <c r="L50" s="1364"/>
      <c r="M50" s="1365"/>
      <c r="N50" s="1365"/>
      <c r="O50" s="537"/>
      <c r="P50" s="360"/>
      <c r="Q50" s="375"/>
      <c r="R50" s="355"/>
      <c r="S50" s="1278"/>
      <c r="T50" s="372" t="s">
        <v>490</v>
      </c>
      <c r="U50" s="367"/>
      <c r="V50" s="367"/>
      <c r="W50" s="367"/>
      <c r="X50" s="367"/>
      <c r="Y50" s="367"/>
      <c r="Z50" s="367"/>
      <c r="AA50" s="367"/>
      <c r="AB50" s="366"/>
      <c r="AC50" s="367"/>
      <c r="AD50" s="367"/>
      <c r="AE50" s="367"/>
      <c r="AF50" s="367"/>
      <c r="AG50" s="367"/>
      <c r="AH50" s="367"/>
      <c r="AI50" s="366"/>
      <c r="AJ50" s="367"/>
      <c r="AK50" s="303"/>
      <c r="AM50" s="500"/>
      <c r="AN50" s="500" t="str">
        <f>IF(T50="","",T50)</f>
        <v>Добавить наименование признака дифференциации</v>
      </c>
      <c r="AO50" s="500"/>
      <c r="AP50" s="500"/>
      <c r="AQ50" s="1155">
        <v>21</v>
      </c>
    </row>
    <row s="1642" customFormat="1" customHeight="1" ht="0">
      <c r="A51" s="1343" t="s">
        <v>243</v>
      </c>
      <c r="B51" s="1343" t="s">
        <v>244</v>
      </c>
      <c r="C51" s="1314"/>
      <c r="D51" s="1314"/>
      <c r="E51" s="2259"/>
      <c r="F51" s="2258"/>
      <c r="G51" s="1314"/>
      <c r="H51" s="1314"/>
      <c r="I51" s="1314"/>
      <c r="J51" s="1314"/>
      <c r="K51" s="1314"/>
      <c r="L51" s="1458"/>
      <c r="M51" s="1321"/>
      <c r="N51" s="1321"/>
      <c r="P51" s="1316"/>
      <c r="Q51" s="1317"/>
      <c r="R51" s="1316"/>
      <c r="S51" s="1322"/>
      <c r="T51" s="1325" t="s">
        <v>417</v>
      </c>
      <c r="U51" s="1324"/>
      <c r="V51" s="1324"/>
      <c r="W51" s="1324"/>
      <c r="X51" s="1324"/>
      <c r="Y51" s="1324"/>
      <c r="Z51" s="1324"/>
      <c r="AA51" s="1324"/>
      <c r="AB51" s="1324"/>
      <c r="AC51" s="1324"/>
      <c r="AD51" s="1324"/>
      <c r="AE51" s="1324"/>
      <c r="AF51" s="1324"/>
      <c r="AG51" s="1324"/>
      <c r="AH51" s="1324"/>
      <c r="AI51" s="1324"/>
      <c r="AJ51" s="1324"/>
      <c r="AK51" s="1324"/>
      <c r="AM51" s="789"/>
      <c r="AN51" s="789" t="str">
        <f>IF(T51="","",T51)</f>
        <v>Добавить централизованную систему для дифференциации</v>
      </c>
      <c r="AO51" s="789"/>
      <c r="AP51" s="789"/>
      <c r="AQ51" s="518">
        <v>0</v>
      </c>
    </row>
    <row s="1642" customFormat="1" customHeight="1" ht="0">
      <c r="A52" s="1343" t="s">
        <v>243</v>
      </c>
      <c r="B52" s="1343"/>
      <c r="C52" s="1343"/>
      <c r="D52" s="1343"/>
      <c r="E52" s="2258"/>
      <c r="F52" s="1343"/>
      <c r="G52" s="1343"/>
      <c r="H52" s="1343"/>
      <c r="I52" s="1343"/>
      <c r="J52" s="1343"/>
      <c r="K52" s="1343"/>
      <c r="L52" s="1346"/>
      <c r="M52" s="1321"/>
      <c r="N52" s="1321"/>
      <c r="O52" s="518"/>
      <c r="P52" s="380"/>
      <c r="Q52" s="1344"/>
      <c r="R52" s="380"/>
      <c r="S52" s="1322"/>
      <c r="T52" s="1325" t="s">
        <v>418</v>
      </c>
      <c r="U52" s="1324"/>
      <c r="V52" s="1324"/>
      <c r="W52" s="1324"/>
      <c r="X52" s="1324"/>
      <c r="Y52" s="1324"/>
      <c r="Z52" s="1324"/>
      <c r="AA52" s="1324"/>
      <c r="AB52" s="1324"/>
      <c r="AC52" s="1324"/>
      <c r="AD52" s="1324"/>
      <c r="AE52" s="1324"/>
      <c r="AF52" s="1324"/>
      <c r="AG52" s="1324"/>
      <c r="AH52" s="1324"/>
      <c r="AI52" s="1324"/>
      <c r="AJ52" s="1324"/>
      <c r="AK52" s="1324"/>
      <c r="AM52" s="500"/>
      <c r="AN52" s="500" t="str">
        <f>IF(T52="","",T52)</f>
        <v>Добавить территорию для дифференциации</v>
      </c>
      <c r="AO52" s="500"/>
      <c r="AP52" s="500"/>
      <c r="AQ52" s="511">
        <v>0</v>
      </c>
    </row>
    <row s="1642" customFormat="1" customHeight="1" ht="0">
      <c r="A53" s="1314"/>
      <c r="B53" s="1314"/>
      <c r="C53" s="1314"/>
      <c r="D53" s="1314"/>
      <c r="E53" s="1343"/>
      <c r="F53" s="1314"/>
      <c r="G53" s="1314"/>
      <c r="H53" s="1314"/>
      <c r="I53" s="1314"/>
      <c r="J53" s="1314"/>
      <c r="K53" s="1314"/>
      <c r="L53" s="1458"/>
      <c r="M53" s="1321"/>
      <c r="N53" s="1321"/>
      <c r="P53" s="1316"/>
      <c r="Q53" s="1317"/>
      <c r="R53" s="1316"/>
      <c r="S53" s="1322"/>
      <c r="T53" s="1325" t="s">
        <v>450</v>
      </c>
      <c r="U53" s="1324"/>
      <c r="V53" s="1324"/>
      <c r="W53" s="1324"/>
      <c r="X53" s="1324"/>
      <c r="Y53" s="1324"/>
      <c r="Z53" s="1324"/>
      <c r="AA53" s="1324"/>
      <c r="AB53" s="1324"/>
      <c r="AC53" s="1324"/>
      <c r="AD53" s="1324"/>
      <c r="AE53" s="1324"/>
      <c r="AF53" s="1324"/>
      <c r="AG53" s="1324"/>
      <c r="AH53" s="1324"/>
      <c r="AI53" s="1324"/>
      <c r="AJ53" s="1324"/>
      <c r="AK53" s="1324"/>
      <c r="AM53" s="789"/>
      <c r="AN53" s="789" t="str">
        <f>IF(T53="","",T53)</f>
        <v>Добавить наименование тарифа</v>
      </c>
      <c r="AO53" s="789"/>
      <c r="AP53" s="789"/>
      <c r="AQ53" s="518">
        <v>0</v>
      </c>
    </row>
    <row customHeight="1" ht="11.549999999999999">
      <c r="M54" s="1160"/>
      <c r="N54" s="1160"/>
      <c r="O54" s="537"/>
      <c r="P54" s="1155"/>
      <c r="Q54" s="1155"/>
      <c r="R54" s="1155"/>
      <c r="S54" s="1155"/>
      <c r="AL54" s="1155"/>
      <c r="AM54" s="1155"/>
      <c r="AN54" s="1155"/>
      <c r="AO54" s="1155"/>
      <c r="AP54" s="1155"/>
      <c r="AQ54" s="1155">
        <v>11</v>
      </c>
    </row>
    <row customHeight="1" ht="14.699999999999998">
      <c r="O55" s="537"/>
      <c r="S55" s="1253"/>
      <c r="T55" s="2285"/>
      <c r="U55" s="2285"/>
      <c r="V55" s="2285"/>
      <c r="W55" s="2285"/>
      <c r="X55" s="2285"/>
      <c r="Y55" s="2285"/>
      <c r="Z55" s="2285"/>
      <c r="AA55" s="2285"/>
      <c r="AB55" s="2285"/>
      <c r="AC55" s="2285"/>
      <c r="AD55" s="2285"/>
      <c r="AE55" s="2285"/>
      <c r="AF55" s="2285"/>
      <c r="AG55" s="2285"/>
      <c r="AH55" s="2285"/>
      <c r="AI55" s="2285"/>
      <c r="AJ55" s="2285"/>
      <c r="AK55" s="2285"/>
      <c r="AQ55" s="1155">
        <v>14</v>
      </c>
    </row>
    <row customHeight="1" ht="14.699999999999998">
      <c r="O56" s="537"/>
      <c r="AQ56" s="1155">
        <v>14</v>
      </c>
    </row>
    <row customHeight="1" ht="14.699999999999998">
      <c r="O57" s="537"/>
      <c r="S57" s="1253"/>
      <c r="T57" s="2285"/>
      <c r="U57" s="2285"/>
      <c r="V57" s="2285"/>
      <c r="W57" s="2285"/>
      <c r="X57" s="2285"/>
      <c r="Y57" s="2285"/>
      <c r="Z57" s="2285"/>
      <c r="AA57" s="2285"/>
      <c r="AB57" s="2285"/>
      <c r="AC57" s="2285"/>
      <c r="AD57" s="2285"/>
      <c r="AE57" s="2285"/>
      <c r="AF57" s="2285"/>
      <c r="AG57" s="2285"/>
      <c r="AH57" s="2285"/>
      <c r="AI57" s="2285"/>
      <c r="AJ57" s="2285"/>
      <c r="AK57" s="2285"/>
      <c r="AQ57" s="1155">
        <v>14</v>
      </c>
    </row>
    <row customHeight="1" ht="22.5" hidden="1">
      <c r="A58" s="1160" t="s">
        <v>82</v>
      </c>
      <c r="B58" s="1160">
        <v>0</v>
      </c>
      <c r="C58" s="1160">
        <v>0</v>
      </c>
      <c r="D58" s="1160">
        <v>0</v>
      </c>
      <c r="E58" s="1160">
        <v>0</v>
      </c>
      <c r="F58" s="1160">
        <v>0</v>
      </c>
      <c r="G58" s="1160">
        <v>0</v>
      </c>
      <c r="H58" s="1160">
        <v>0</v>
      </c>
      <c r="I58" s="1160">
        <v>0</v>
      </c>
      <c r="J58" s="1160">
        <v>0</v>
      </c>
      <c r="K58" s="1160">
        <v>0</v>
      </c>
      <c r="L58" s="1447">
        <v>0</v>
      </c>
      <c r="M58" s="1362">
        <v>0</v>
      </c>
      <c r="N58" s="1362">
        <v>0</v>
      </c>
      <c r="O58" s="1362">
        <v>0</v>
      </c>
      <c r="P58" s="1446">
        <v>3</v>
      </c>
      <c r="Q58" s="344">
        <v>3</v>
      </c>
      <c r="R58" s="344">
        <v>3</v>
      </c>
      <c r="S58" s="581">
        <v>12</v>
      </c>
      <c r="T58" s="1155">
        <v>35</v>
      </c>
      <c r="U58" s="1155">
        <v>0</v>
      </c>
      <c r="V58" s="1155">
        <v>0</v>
      </c>
      <c r="W58" s="1155">
        <v>0</v>
      </c>
      <c r="X58" s="1155">
        <v>0</v>
      </c>
      <c r="Y58" s="1155">
        <v>0</v>
      </c>
      <c r="Z58" s="1155">
        <v>0</v>
      </c>
      <c r="AA58" s="1155">
        <v>0</v>
      </c>
      <c r="AB58" s="1155">
        <v>0</v>
      </c>
      <c r="AC58" s="1155">
        <v>24</v>
      </c>
      <c r="AD58" s="1155">
        <v>24</v>
      </c>
      <c r="AE58" s="1155">
        <v>24</v>
      </c>
      <c r="AF58" s="1155">
        <v>11</v>
      </c>
      <c r="AG58" s="1155">
        <v>3</v>
      </c>
      <c r="AH58" s="1155">
        <v>11</v>
      </c>
      <c r="AI58" s="1155">
        <v>0</v>
      </c>
      <c r="AJ58" s="1155">
        <v>4</v>
      </c>
      <c r="AK58" s="1155">
        <v>115</v>
      </c>
      <c r="AL58" s="511">
        <v>10</v>
      </c>
      <c r="AM58" s="511">
        <v>10</v>
      </c>
      <c r="AN58" s="511">
        <v>10</v>
      </c>
      <c r="AO58" s="511">
        <v>10</v>
      </c>
      <c r="AP58" s="511">
        <v>10</v>
      </c>
      <c r="AQ58" s="1155">
        <v>23</v>
      </c>
    </row>
  </sheetData>
  <sheetProtection formatColumns="0" formatRows="0" autoFilter="0" sort="0" insertRows="0" insertColumns="1" deleteRows="0" deleteColumns="0"/>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46 AI524330 AI196650 AI589866 AI655402 AI15 AI720938 AI786474 AI852010 AI917546 AI983082 AI65578 AI131114 AI458794 AI262186 AG46 AI7 Z46 AB46 AG15 AG7 Z7 AB7 AI327722 AI393258"/>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Y46 AA46 AH7 AF7 Y7 AA7"/>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44:AJ44 AC5:AJ5">
      <formula1>900</formula1>
    </dataValidation>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X47 AE8 X8 AE47"/>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31EE34B-EB9F-6296-DB5A-9D2ADD53353F}" mc:Ignorable="x14ac xr xr2 xr3">
  <sheetPr>
    <tabColor theme="6" tint="0.4"/>
  </sheetPr>
  <dimension ref="A1:AQ64"/>
  <sheetViews>
    <sheetView showGridLines="0" zoomScale="90" workbookViewId="0">
      <pane xSplit="27" ySplit="41" topLeftCell="AB42" activePane="bottomRight" state="frozen"/>
      <selection pane="bottomLeft" activeCell="A42" sqref="A42"/>
      <selection pane="topRight" activeCell="AB1" sqref="AB1"/>
      <selection pane="bottomRight" activeCell="A1" sqref="A1"/>
    </sheetView>
  </sheetViews>
  <sheetFormatPr defaultColWidth="10.57421875" customHeight="1" defaultRowHeight="14.25"/>
  <cols>
    <col min="1" max="3" style="1635" width="10.140625" hidden="1" customWidth="1"/>
    <col min="4" max="4" style="1635" width="11.8515625" hidden="1" customWidth="1"/>
    <col min="5" max="11" style="1635" width="10.140625" hidden="1" customWidth="1"/>
    <col min="12" max="12" style="2125" width="10.140625" hidden="1" customWidth="1"/>
    <col min="13" max="15" style="2397" width="10.140625" hidden="1" customWidth="1"/>
    <col min="16" max="16" style="1776" width="3.00390625" customWidth="1"/>
    <col min="17" max="17" style="1371" width="3.00390625" customWidth="1"/>
    <col min="18" max="18" style="344" width="3.00390625" customWidth="1"/>
    <col min="19" max="19" style="2407" width="12.00390625" customWidth="1"/>
    <col min="20" max="20" style="1635" width="31.00390625" customWidth="1"/>
    <col min="21" max="21" style="1635" width="0.140625" customWidth="1"/>
    <col min="22" max="23" style="1635" width="21.7109375" hidden="1" customWidth="1"/>
    <col min="24" max="24" style="1635" width="11.7109375" hidden="1" customWidth="1"/>
    <col min="25" max="25" style="1635" width="3.7109375" hidden="1" customWidth="1"/>
    <col min="26" max="26" style="1635" width="11.7109375" hidden="1" customWidth="1"/>
    <col min="27" max="27" style="1635" width="8.57421875" hidden="1" customWidth="1"/>
    <col min="28" max="28" style="1635" width="27.00390625" customWidth="1"/>
    <col min="29" max="29" style="1635" width="24.57421875" customWidth="1"/>
    <col min="30" max="31" style="1635" width="21.00390625" customWidth="1"/>
    <col min="32" max="32" style="1635" width="11.00390625" customWidth="1"/>
    <col min="33" max="33" style="1635" width="3.7109375" customWidth="1"/>
    <col min="34" max="34" style="1635" width="11.00390625" customWidth="1"/>
    <col min="35" max="35" style="1635" width="8.57421875" hidden="1" customWidth="1"/>
    <col min="36" max="36" style="1635" width="4.00390625" customWidth="1"/>
    <col min="37" max="37" style="1635" width="115.00390625" customWidth="1"/>
    <col min="38" max="42" style="1642" width="10.00390625" customWidth="1"/>
    <col min="43" max="43" style="1635" width="10.57421875" hidden="1"/>
  </cols>
  <sheetData>
    <row customHeight="1" ht="0.75" hidden="1">
      <c r="AQ1" s="1631" t="s">
        <v>14</v>
      </c>
    </row>
    <row customHeight="1" ht="21" hidden="1">
      <c r="A2" s="1267"/>
      <c r="B2" s="1267"/>
      <c r="C2" s="1267"/>
      <c r="D2" s="1267"/>
      <c r="E2" s="2289">
        <v>1</v>
      </c>
      <c r="F2" s="1267"/>
      <c r="G2" s="1267"/>
      <c r="H2" s="1267"/>
      <c r="I2" s="1267"/>
      <c r="J2" s="1267"/>
      <c r="K2" s="1267"/>
      <c r="L2" s="1310"/>
      <c r="M2" s="1610"/>
      <c r="N2" s="1610"/>
      <c r="O2" s="1610"/>
      <c r="P2" s="1409"/>
      <c r="Q2" s="873"/>
      <c r="R2" s="355"/>
      <c r="S2" s="1958">
        <f>INDEX(PT_DIFFERENTIATION_NUM_NTAR,MATCH(A2,PT_DIFFERENTIATION_NTAR_ID,0))</f>
      </c>
      <c r="T2" s="1525" t="s">
        <v>127</v>
      </c>
      <c r="U2" s="300"/>
      <c r="V2" s="2243"/>
      <c r="W2" s="2243"/>
      <c r="X2" s="2243"/>
      <c r="Y2" s="2243"/>
      <c r="Z2" s="2243"/>
      <c r="AA2" s="2244"/>
      <c r="AB2" s="1952"/>
      <c r="AC2" s="2243">
        <f>INDEX(PT_DIFFERENTIATION_NTAR,MATCH(A2,PT_DIFFERENTIATION_NTAR_ID,0))</f>
      </c>
      <c r="AD2" s="2243"/>
      <c r="AE2" s="2243"/>
      <c r="AF2" s="2243"/>
      <c r="AG2" s="2243"/>
      <c r="AH2" s="2243"/>
      <c r="AI2" s="2243"/>
      <c r="AJ2" s="2244"/>
      <c r="AK2" s="1258" t="s">
        <v>398</v>
      </c>
      <c r="AM2" s="1624"/>
      <c r="AN2" s="1624" t="str">
        <f>IF(T2="","",T2)</f>
        <v>Наименование тарифа</v>
      </c>
      <c r="AO2" s="1624"/>
      <c r="AP2" s="1624"/>
      <c r="AQ2" s="1631">
        <v>0</v>
      </c>
    </row>
    <row customHeight="1" ht="21" hidden="1">
      <c r="A3" s="1267"/>
      <c r="B3" s="1267"/>
      <c r="C3" s="1267"/>
      <c r="D3" s="1267"/>
      <c r="E3" s="2290"/>
      <c r="F3" s="2289">
        <v>1</v>
      </c>
      <c r="G3" s="1267"/>
      <c r="H3" s="1267"/>
      <c r="I3" s="1267"/>
      <c r="J3" s="1267"/>
      <c r="K3" s="1267"/>
      <c r="L3" s="1310"/>
      <c r="M3" s="1610"/>
      <c r="N3" s="1610"/>
      <c r="O3" s="1610"/>
      <c r="P3" s="1969"/>
      <c r="Q3" s="1411"/>
      <c r="R3" s="353"/>
      <c r="S3" s="1958">
        <f>INDEX(PT_DIFFERENTIATION_NUM_TER,MATCH(B3,PT_DIFFERENTIATION_TER_ID,0))</f>
      </c>
      <c r="T3" s="1522" t="s">
        <v>399</v>
      </c>
      <c r="U3" s="300"/>
      <c r="V3" s="2243"/>
      <c r="W3" s="2243"/>
      <c r="X3" s="2243"/>
      <c r="Y3" s="2243"/>
      <c r="Z3" s="2243"/>
      <c r="AA3" s="2244"/>
      <c r="AB3" s="1952"/>
      <c r="AC3" s="2243">
        <f>INDEX(PT_DIFFERENTIATION_TER,MATCH(B3,PT_DIFFERENTIATION_TER_ID,0))</f>
      </c>
      <c r="AD3" s="2243"/>
      <c r="AE3" s="2243"/>
      <c r="AF3" s="2243"/>
      <c r="AG3" s="2243"/>
      <c r="AH3" s="2243"/>
      <c r="AI3" s="2243"/>
      <c r="AJ3" s="2244"/>
      <c r="AK3" s="1258" t="s">
        <v>400</v>
      </c>
      <c r="AM3" s="1624"/>
      <c r="AN3" s="1624" t="str">
        <f>IF(T3="","",T3)</f>
        <v>Территория действия тарифа</v>
      </c>
      <c r="AO3" s="1624"/>
      <c r="AP3" s="1624"/>
      <c r="AQ3" s="1631">
        <v>0</v>
      </c>
    </row>
    <row customHeight="1" ht="22.5" hidden="1">
      <c r="A4" s="1267"/>
      <c r="B4" s="1267"/>
      <c r="C4" s="1267"/>
      <c r="D4" s="1267"/>
      <c r="E4" s="2290"/>
      <c r="F4" s="2290"/>
      <c r="G4" s="2289">
        <v>1</v>
      </c>
      <c r="H4" s="1267"/>
      <c r="I4" s="1267"/>
      <c r="J4" s="1267"/>
      <c r="K4" s="1267"/>
      <c r="L4" s="1310"/>
      <c r="M4" s="1610"/>
      <c r="N4" s="1610"/>
      <c r="O4" s="1610"/>
      <c r="P4" s="1412"/>
      <c r="Q4" s="1411"/>
      <c r="R4" s="353"/>
      <c r="S4" s="1958">
        <f>INDEX(PT_DIFFERENTIATION_NUM_CS,MATCH(C4,PT_DIFFERENTIATION_CS_ID,0))</f>
      </c>
      <c r="T4" s="309" t="s">
        <v>401</v>
      </c>
      <c r="U4" s="300"/>
      <c r="V4" s="2243"/>
      <c r="W4" s="2243"/>
      <c r="X4" s="2243"/>
      <c r="Y4" s="2243"/>
      <c r="Z4" s="2243"/>
      <c r="AA4" s="2244"/>
      <c r="AB4" s="1952"/>
      <c r="AC4" s="2243">
        <f>INDEX(PT_DIFFERENTIATION_CS,MATCH(C4,PT_DIFFERENTIATION_CS_ID,0))</f>
      </c>
      <c r="AD4" s="2243"/>
      <c r="AE4" s="2243"/>
      <c r="AF4" s="2243"/>
      <c r="AG4" s="2243"/>
      <c r="AH4" s="2243"/>
      <c r="AI4" s="2243"/>
      <c r="AJ4" s="2244"/>
      <c r="AK4" s="1258" t="s">
        <v>402</v>
      </c>
      <c r="AM4" s="1624"/>
      <c r="AN4" s="1624" t="str">
        <f>IF(T4="","",T4)</f>
        <v>Наименование системы теплоснабжения </v>
      </c>
      <c r="AO4" s="1624"/>
      <c r="AP4" s="1624"/>
      <c r="AQ4" s="1631">
        <v>0</v>
      </c>
    </row>
    <row customHeight="1" ht="21" hidden="1">
      <c r="A5" s="1267"/>
      <c r="B5" s="1267"/>
      <c r="C5" s="1267"/>
      <c r="D5" s="1267"/>
      <c r="E5" s="2290"/>
      <c r="F5" s="2290"/>
      <c r="G5" s="2290"/>
      <c r="H5" s="2289">
        <v>1</v>
      </c>
      <c r="I5" s="1267"/>
      <c r="J5" s="1267"/>
      <c r="K5" s="1267"/>
      <c r="L5" s="1310"/>
      <c r="M5" s="1610"/>
      <c r="N5" s="1610"/>
      <c r="O5" s="1610"/>
      <c r="P5" s="1412"/>
      <c r="Q5" s="1411"/>
      <c r="R5" s="353"/>
      <c r="S5" s="1958">
        <f>INDEX(PT_DIFFERENTIATION_NUM_IST_TE,MATCH(D5,PT_DIFFERENTIATION_IST_TE_ID,0))</f>
      </c>
      <c r="T5" s="310" t="s">
        <v>403</v>
      </c>
      <c r="U5" s="300"/>
      <c r="V5" s="2243"/>
      <c r="W5" s="2243"/>
      <c r="X5" s="2243"/>
      <c r="Y5" s="2243"/>
      <c r="Z5" s="2243"/>
      <c r="AA5" s="2244"/>
      <c r="AB5" s="1952"/>
      <c r="AC5" s="2243">
        <f>INDEX(PT_DIFFERENTIATION_IST_TE,MATCH(D5,PT_DIFFERENTIATION_IST_TE_ID,0))</f>
      </c>
      <c r="AD5" s="2243"/>
      <c r="AE5" s="2243"/>
      <c r="AF5" s="2243"/>
      <c r="AG5" s="2243"/>
      <c r="AH5" s="2243"/>
      <c r="AI5" s="2243"/>
      <c r="AJ5" s="2244"/>
      <c r="AK5" s="1258" t="s">
        <v>404</v>
      </c>
      <c r="AM5" s="1624"/>
      <c r="AN5" s="1624" t="str">
        <f>IF(T5="","",T5)</f>
        <v>Источник тепловой энергии  </v>
      </c>
      <c r="AO5" s="1624"/>
      <c r="AP5" s="1624"/>
      <c r="AQ5" s="1631">
        <v>0</v>
      </c>
    </row>
    <row s="1642" customFormat="1" customHeight="1" ht="0.75" hidden="1">
      <c r="A6" s="1375"/>
      <c r="B6" s="1375"/>
      <c r="C6" s="1375"/>
      <c r="D6" s="1375"/>
      <c r="E6" s="2290"/>
      <c r="F6" s="2290"/>
      <c r="G6" s="2290"/>
      <c r="H6" s="2290"/>
      <c r="I6" s="2127">
        <f>S5&amp;".1"</f>
      </c>
      <c r="J6" s="1375"/>
      <c r="K6" s="1375"/>
      <c r="L6" s="1381" t="s">
        <v>405</v>
      </c>
      <c r="M6" s="1246"/>
      <c r="N6" s="1246"/>
      <c r="O6" s="1246"/>
      <c r="P6" s="2257">
        <v>1</v>
      </c>
      <c r="Q6" s="1954"/>
      <c r="R6" s="356"/>
      <c r="S6" s="1042"/>
      <c r="T6" s="1383"/>
      <c r="U6" s="1384"/>
      <c r="V6" s="2297"/>
      <c r="W6" s="2297"/>
      <c r="X6" s="2297"/>
      <c r="Y6" s="2297"/>
      <c r="Z6" s="2297"/>
      <c r="AA6" s="2298"/>
      <c r="AB6" s="1960"/>
      <c r="AC6" s="2297"/>
      <c r="AD6" s="2297"/>
      <c r="AE6" s="2297"/>
      <c r="AF6" s="2297"/>
      <c r="AG6" s="2297"/>
      <c r="AH6" s="2297"/>
      <c r="AI6" s="2297"/>
      <c r="AJ6" s="2298"/>
      <c r="AK6" s="1385"/>
      <c r="AM6" s="1624"/>
      <c r="AN6" s="1624" t="str">
        <f>IF(T6="","",T6)</f>
        <v/>
      </c>
      <c r="AO6" s="1624"/>
      <c r="AP6" s="1624"/>
      <c r="AQ6" s="1636">
        <v>0</v>
      </c>
    </row>
    <row s="1642" customFormat="1" customHeight="1" ht="0.75" hidden="1">
      <c r="A7" s="1375"/>
      <c r="B7" s="1375"/>
      <c r="C7" s="1375"/>
      <c r="D7" s="1375"/>
      <c r="E7" s="2290"/>
      <c r="F7" s="2290"/>
      <c r="G7" s="2290"/>
      <c r="H7" s="2290"/>
      <c r="I7" s="2101"/>
      <c r="J7" s="2127">
        <f>S5&amp;".1"</f>
      </c>
      <c r="K7" s="1375"/>
      <c r="L7" s="1381"/>
      <c r="M7" s="1246"/>
      <c r="N7" s="1246"/>
      <c r="O7" s="1246"/>
      <c r="P7" s="2257"/>
      <c r="Q7" s="2257">
        <v>1</v>
      </c>
      <c r="R7" s="357"/>
      <c r="S7" s="1042"/>
      <c r="T7" s="1399"/>
      <c r="U7" s="1384"/>
      <c r="V7" s="2297"/>
      <c r="W7" s="2297"/>
      <c r="X7" s="2297"/>
      <c r="Y7" s="2297"/>
      <c r="Z7" s="2297"/>
      <c r="AA7" s="2298"/>
      <c r="AB7" s="1960"/>
      <c r="AC7" s="2297"/>
      <c r="AD7" s="2297"/>
      <c r="AE7" s="2297"/>
      <c r="AF7" s="2297"/>
      <c r="AG7" s="2297"/>
      <c r="AH7" s="2297"/>
      <c r="AI7" s="2297"/>
      <c r="AJ7" s="2298"/>
      <c r="AK7" s="1385"/>
      <c r="AM7" s="1624"/>
      <c r="AN7" s="1624" t="str">
        <f>IF(T7="","",T7)</f>
        <v/>
      </c>
      <c r="AO7" s="1624"/>
      <c r="AP7" s="1624"/>
      <c r="AQ7" s="1636">
        <v>0</v>
      </c>
    </row>
    <row customHeight="1" ht="21" hidden="1">
      <c r="A8" s="1267"/>
      <c r="B8" s="1267"/>
      <c r="C8" s="1267"/>
      <c r="D8" s="1267"/>
      <c r="E8" s="2290"/>
      <c r="F8" s="2290"/>
      <c r="G8" s="2290"/>
      <c r="H8" s="2290"/>
      <c r="I8" s="2101"/>
      <c r="J8" s="2101"/>
      <c r="K8" s="1991">
        <f>S5&amp;".1"</f>
      </c>
      <c r="L8" s="1310"/>
      <c r="P8" s="2257"/>
      <c r="Q8" s="2257"/>
      <c r="R8" s="1995">
        <v>1</v>
      </c>
      <c r="S8" s="1993">
        <f>$K8</f>
      </c>
      <c r="T8" s="1994"/>
      <c r="U8" s="300"/>
      <c r="V8" s="751"/>
      <c r="W8" s="1257"/>
      <c r="X8" s="1992"/>
      <c r="Y8" s="1990" t="s">
        <v>66</v>
      </c>
      <c r="Z8" s="1992"/>
      <c r="AA8" s="1990" t="s">
        <v>66</v>
      </c>
      <c r="AB8" s="1996"/>
      <c r="AC8" s="1997" t="s">
        <v>22</v>
      </c>
      <c r="AD8" s="751"/>
      <c r="AE8" s="1257"/>
      <c r="AF8" s="1955"/>
      <c r="AG8" s="1942" t="s">
        <v>66</v>
      </c>
      <c r="AH8" s="1955"/>
      <c r="AI8" s="1942" t="s">
        <v>66</v>
      </c>
      <c r="AJ8" s="1348"/>
      <c r="AK8" s="2253" t="s">
        <v>466</v>
      </c>
      <c r="AL8" s="1636">
        <f>STRCHECKDATE(#REF!)</f>
      </c>
      <c r="AM8" s="1624"/>
      <c r="AN8" s="1624" t="str">
        <f>IF(T8="","",T8)</f>
        <v/>
      </c>
      <c r="AO8" s="1624"/>
      <c r="AP8" s="1624"/>
      <c r="AQ8" s="1631">
        <v>0</v>
      </c>
    </row>
    <row customHeight="1" ht="11.25" hidden="1">
      <c r="A9" s="1267"/>
      <c r="B9" s="1267"/>
      <c r="C9" s="1267"/>
      <c r="D9" s="1267"/>
      <c r="E9" s="2290"/>
      <c r="F9" s="2290"/>
      <c r="G9" s="2290"/>
      <c r="H9" s="2290"/>
      <c r="I9" s="2101"/>
      <c r="J9" s="2127"/>
      <c r="K9" s="1267"/>
      <c r="L9" s="1310"/>
      <c r="P9" s="2257"/>
      <c r="Q9" s="2257"/>
      <c r="R9" s="356"/>
      <c r="S9" s="1278"/>
      <c r="T9" s="287" t="s">
        <v>470</v>
      </c>
      <c r="U9" s="600"/>
      <c r="V9" s="600"/>
      <c r="W9" s="600"/>
      <c r="X9" s="600"/>
      <c r="Y9" s="600"/>
      <c r="Z9" s="600"/>
      <c r="AA9" s="600"/>
      <c r="AB9" s="600"/>
      <c r="AC9" s="600"/>
      <c r="AD9" s="600"/>
      <c r="AE9" s="600"/>
      <c r="AF9" s="600"/>
      <c r="AG9" s="600"/>
      <c r="AH9" s="600"/>
      <c r="AI9" s="600"/>
      <c r="AJ9" s="324"/>
      <c r="AK9" s="2255"/>
      <c r="AM9" s="1624"/>
      <c r="AN9" s="1624" t="str">
        <f>IF(T9="","",T9)</f>
        <v>Добавить строку</v>
      </c>
      <c r="AO9" s="1624"/>
      <c r="AP9" s="1624"/>
      <c r="AQ9" s="1631">
        <v>0</v>
      </c>
    </row>
    <row s="1642" customFormat="1" customHeight="1" ht="0.75" hidden="1">
      <c r="A10" s="1375"/>
      <c r="B10" s="1375"/>
      <c r="C10" s="1375"/>
      <c r="D10" s="1375"/>
      <c r="E10" s="2290"/>
      <c r="F10" s="2290"/>
      <c r="G10" s="2290"/>
      <c r="H10" s="2290"/>
      <c r="I10" s="2127"/>
      <c r="J10" s="1375"/>
      <c r="K10" s="1375"/>
      <c r="L10" s="1381"/>
      <c r="M10" s="1246"/>
      <c r="N10" s="1246"/>
      <c r="O10" s="1246"/>
      <c r="P10" s="2257"/>
      <c r="Q10" s="1954"/>
      <c r="R10" s="356"/>
      <c r="S10" s="1386"/>
      <c r="T10" s="1387"/>
      <c r="U10" s="1388"/>
      <c r="V10" s="1388"/>
      <c r="W10" s="1388"/>
      <c r="X10" s="1388"/>
      <c r="Y10" s="1388"/>
      <c r="Z10" s="1388"/>
      <c r="AA10" s="1388"/>
      <c r="AB10" s="1388"/>
      <c r="AC10" s="1388"/>
      <c r="AD10" s="1388"/>
      <c r="AE10" s="1388"/>
      <c r="AF10" s="1388"/>
      <c r="AG10" s="1388"/>
      <c r="AH10" s="1388"/>
      <c r="AI10" s="1388"/>
      <c r="AJ10" s="1388"/>
      <c r="AK10" s="1389"/>
      <c r="AM10" s="1624"/>
      <c r="AN10" s="1624" t="str">
        <f>IF(T10="","",T10)</f>
        <v/>
      </c>
      <c r="AO10" s="1624"/>
      <c r="AP10" s="1624"/>
      <c r="AQ10" s="1636">
        <v>0</v>
      </c>
    </row>
    <row s="1642" customFormat="1" customHeight="1" ht="0.75" hidden="1">
      <c r="A11" s="1375"/>
      <c r="B11" s="1375"/>
      <c r="C11" s="1375"/>
      <c r="D11" s="1375"/>
      <c r="E11" s="2290"/>
      <c r="F11" s="2290"/>
      <c r="G11" s="2290"/>
      <c r="H11" s="2289"/>
      <c r="I11" s="1375"/>
      <c r="J11" s="1375"/>
      <c r="K11" s="1375"/>
      <c r="L11" s="1381"/>
      <c r="M11" s="1378"/>
      <c r="N11" s="1378"/>
      <c r="O11" s="351"/>
      <c r="P11" s="380"/>
      <c r="Q11" s="1344"/>
      <c r="R11" s="1401"/>
      <c r="S11" s="1386"/>
      <c r="T11" s="1387"/>
      <c r="U11" s="1388"/>
      <c r="V11" s="1388"/>
      <c r="W11" s="1388"/>
      <c r="X11" s="1388"/>
      <c r="Y11" s="1388"/>
      <c r="Z11" s="1388"/>
      <c r="AA11" s="1388"/>
      <c r="AB11" s="1388"/>
      <c r="AC11" s="1388"/>
      <c r="AD11" s="1388"/>
      <c r="AE11" s="1388"/>
      <c r="AF11" s="1388"/>
      <c r="AG11" s="1388"/>
      <c r="AH11" s="1388"/>
      <c r="AI11" s="1388"/>
      <c r="AJ11" s="1388"/>
      <c r="AK11" s="1389"/>
      <c r="AM11" s="1624"/>
      <c r="AN11" s="1624" t="str">
        <f>IF(T11="","",T11)</f>
        <v/>
      </c>
      <c r="AO11" s="1624"/>
      <c r="AP11" s="1624"/>
      <c r="AQ11" s="1636">
        <v>0</v>
      </c>
    </row>
    <row s="1642" customFormat="1" customHeight="1" ht="0.75" hidden="1">
      <c r="A12" s="1375"/>
      <c r="B12" s="1375"/>
      <c r="C12" s="1375"/>
      <c r="D12" s="1374"/>
      <c r="E12" s="2290"/>
      <c r="F12" s="2290"/>
      <c r="G12" s="2289"/>
      <c r="H12" s="1374"/>
      <c r="I12" s="1374"/>
      <c r="J12" s="1374"/>
      <c r="K12" s="1374"/>
      <c r="L12" s="1377"/>
      <c r="M12" s="1378"/>
      <c r="N12" s="1378"/>
      <c r="O12" s="351"/>
      <c r="P12" s="1316"/>
      <c r="Q12" s="1317"/>
      <c r="R12" s="1316"/>
      <c r="S12" s="1322"/>
      <c r="T12" s="1325" t="s">
        <v>416</v>
      </c>
      <c r="U12" s="1324"/>
      <c r="V12" s="1324"/>
      <c r="W12" s="1324"/>
      <c r="X12" s="1324"/>
      <c r="Y12" s="1324"/>
      <c r="Z12" s="1324"/>
      <c r="AA12" s="1324"/>
      <c r="AB12" s="1324"/>
      <c r="AC12" s="1324"/>
      <c r="AD12" s="1324"/>
      <c r="AE12" s="1324"/>
      <c r="AF12" s="1324"/>
      <c r="AG12" s="1324"/>
      <c r="AH12" s="1324"/>
      <c r="AI12" s="1324"/>
      <c r="AJ12" s="1324"/>
      <c r="AK12" s="1324"/>
      <c r="AM12" s="1251"/>
      <c r="AN12" s="1251" t="str">
        <f>IF(T12="","",T12)</f>
        <v>Добавить источник для дифференциации</v>
      </c>
      <c r="AO12" s="1251"/>
      <c r="AP12" s="1251"/>
      <c r="AQ12" s="1642">
        <v>0</v>
      </c>
    </row>
    <row s="1642" customFormat="1" customHeight="1" ht="0.75" hidden="1">
      <c r="A13" s="1375"/>
      <c r="B13" s="1375"/>
      <c r="C13" s="1374"/>
      <c r="D13" s="1374"/>
      <c r="E13" s="2290"/>
      <c r="F13" s="2289"/>
      <c r="G13" s="1374"/>
      <c r="H13" s="1374"/>
      <c r="I13" s="1374"/>
      <c r="J13" s="1374"/>
      <c r="K13" s="1374"/>
      <c r="L13" s="1377"/>
      <c r="M13" s="1379"/>
      <c r="N13" s="1379"/>
      <c r="O13" s="351"/>
      <c r="P13" s="1316"/>
      <c r="Q13" s="1317"/>
      <c r="R13" s="1316"/>
      <c r="S13" s="1322"/>
      <c r="T13" s="1325" t="s">
        <v>417</v>
      </c>
      <c r="U13" s="1324"/>
      <c r="V13" s="1324"/>
      <c r="W13" s="1324"/>
      <c r="X13" s="1324"/>
      <c r="Y13" s="1324"/>
      <c r="Z13" s="1324"/>
      <c r="AA13" s="1324"/>
      <c r="AB13" s="1324"/>
      <c r="AC13" s="1324"/>
      <c r="AD13" s="1324"/>
      <c r="AE13" s="1324"/>
      <c r="AF13" s="1324"/>
      <c r="AG13" s="1324"/>
      <c r="AH13" s="1324"/>
      <c r="AI13" s="1324"/>
      <c r="AJ13" s="1324"/>
      <c r="AK13" s="1324"/>
      <c r="AM13" s="1251"/>
      <c r="AN13" s="1251" t="str">
        <f>IF(T13="","",T13)</f>
        <v>Добавить централизованную систему для дифференциации</v>
      </c>
      <c r="AO13" s="1251"/>
      <c r="AP13" s="1251"/>
      <c r="AQ13" s="1642">
        <v>0</v>
      </c>
    </row>
    <row s="1642" customFormat="1" customHeight="1" ht="0.75" hidden="1">
      <c r="A14" s="1375"/>
      <c r="B14" s="1375"/>
      <c r="C14" s="1375"/>
      <c r="D14" s="1375"/>
      <c r="E14" s="2289"/>
      <c r="F14" s="1375"/>
      <c r="G14" s="1375"/>
      <c r="H14" s="1375"/>
      <c r="I14" s="1375"/>
      <c r="J14" s="1375"/>
      <c r="K14" s="1375"/>
      <c r="L14" s="1381"/>
      <c r="M14" s="1379"/>
      <c r="N14" s="1379"/>
      <c r="O14" s="351"/>
      <c r="P14" s="380"/>
      <c r="Q14" s="1344"/>
      <c r="R14" s="380"/>
      <c r="S14" s="1322"/>
      <c r="T14" s="1325" t="s">
        <v>418</v>
      </c>
      <c r="U14" s="1324"/>
      <c r="V14" s="1324"/>
      <c r="W14" s="1324"/>
      <c r="X14" s="1324"/>
      <c r="Y14" s="1324"/>
      <c r="Z14" s="1324"/>
      <c r="AA14" s="1324"/>
      <c r="AB14" s="1324"/>
      <c r="AC14" s="1324"/>
      <c r="AD14" s="1324"/>
      <c r="AE14" s="1324"/>
      <c r="AF14" s="1324"/>
      <c r="AG14" s="1324"/>
      <c r="AH14" s="1324"/>
      <c r="AI14" s="1324"/>
      <c r="AJ14" s="1324"/>
      <c r="AK14" s="1324"/>
      <c r="AM14" s="1624"/>
      <c r="AN14" s="1624" t="str">
        <f>IF(T14="","",T14)</f>
        <v>Добавить территорию для дифференциации</v>
      </c>
      <c r="AO14" s="1624"/>
      <c r="AP14" s="1624"/>
      <c r="AQ14" s="1636">
        <v>0</v>
      </c>
    </row>
    <row customHeight="1" ht="14.25" hidden="1">
      <c r="AQ15" s="1631">
        <v>0</v>
      </c>
    </row>
    <row customHeight="1" ht="14.25" hidden="1">
      <c r="AC16" s="1502"/>
      <c r="AD16" s="1403"/>
      <c r="AE16" s="1404"/>
      <c r="AF16" s="1736"/>
      <c r="AG16" s="1966" t="s">
        <v>66</v>
      </c>
      <c r="AH16" s="1736"/>
      <c r="AI16" s="1966" t="s">
        <v>66</v>
      </c>
      <c r="AQ16" s="1631">
        <v>0</v>
      </c>
    </row>
    <row customHeight="1" ht="14.25" hidden="1">
      <c r="AL17" s="1641"/>
      <c r="AM17" s="1641"/>
      <c r="AN17" s="1641"/>
      <c r="AO17" s="1641"/>
      <c r="AP17" s="1641"/>
      <c r="AQ17" s="1631">
        <v>0</v>
      </c>
    </row>
    <row customHeight="1" ht="14.25" hidden="1">
      <c r="O18" s="1345" t="s">
        <v>419</v>
      </c>
      <c r="X18" s="1345"/>
      <c r="Z18" s="1345"/>
      <c r="AF18" s="1345"/>
      <c r="AH18" s="1345"/>
      <c r="AL18" s="1641"/>
      <c r="AM18" s="1641"/>
      <c r="AN18" s="1641"/>
      <c r="AO18" s="1641"/>
      <c r="AP18" s="1641"/>
      <c r="AQ18" s="1631">
        <v>0</v>
      </c>
    </row>
    <row customHeight="1" ht="14.25" hidden="1">
      <c r="AL19" s="1641"/>
      <c r="AM19" s="1641"/>
      <c r="AN19" s="1641"/>
      <c r="AO19" s="1641"/>
      <c r="AP19" s="1641"/>
      <c r="AQ19" s="1631">
        <v>0</v>
      </c>
    </row>
    <row s="1509" customFormat="1" customHeight="1" ht="14.25" hidden="1">
      <c r="A20" s="1971"/>
      <c r="B20" s="1971"/>
      <c r="C20" s="1971"/>
      <c r="D20" s="1971"/>
      <c r="E20" s="1971"/>
      <c r="F20" s="1971"/>
      <c r="G20" s="1971"/>
      <c r="H20" s="1971"/>
      <c r="I20" s="1971"/>
      <c r="J20" s="1971"/>
      <c r="K20" s="1971"/>
      <c r="L20" s="1971"/>
      <c r="M20" s="1972"/>
      <c r="N20" s="1972"/>
      <c r="O20" s="1973" t="s">
        <v>420</v>
      </c>
      <c r="P20" s="1508"/>
      <c r="Q20" s="1510"/>
      <c r="R20" s="1510"/>
      <c r="Y20" s="1507" t="s">
        <v>422</v>
      </c>
      <c r="AA20" s="1507" t="s">
        <v>423</v>
      </c>
      <c r="AC20" s="1507" t="s">
        <v>472</v>
      </c>
      <c r="AG20" s="1507" t="s">
        <v>422</v>
      </c>
      <c r="AI20" s="1507" t="s">
        <v>423</v>
      </c>
      <c r="AL20" s="1511"/>
      <c r="AM20" s="1511"/>
      <c r="AN20" s="1511"/>
      <c r="AO20" s="1511"/>
      <c r="AP20" s="1511"/>
      <c r="AQ20" s="1507">
        <v>0</v>
      </c>
    </row>
    <row customHeight="1" ht="14.25" hidden="1">
      <c r="O21" s="1310"/>
      <c r="AL21" s="1641"/>
      <c r="AM21" s="1641"/>
      <c r="AN21" s="1641"/>
      <c r="AO21" s="1641"/>
      <c r="AP21" s="1641"/>
      <c r="AQ21" s="1631">
        <v>0</v>
      </c>
    </row>
    <row customHeight="1" ht="14.25" hidden="1">
      <c r="O22" s="1310"/>
      <c r="AL22" s="1641"/>
      <c r="AM22" s="1641"/>
      <c r="AN22" s="1641"/>
      <c r="AO22" s="1641"/>
      <c r="AP22" s="1641"/>
      <c r="AQ22" s="1631">
        <v>0</v>
      </c>
    </row>
    <row customHeight="1" ht="14.699999999999998">
      <c r="Q23" s="291"/>
      <c r="R23" s="376"/>
      <c r="S23" s="1275"/>
      <c r="T23" s="457"/>
      <c r="U23" s="457"/>
      <c r="V23" s="1635"/>
      <c r="W23" s="1635"/>
      <c r="X23" s="1635"/>
      <c r="Y23" s="1635"/>
      <c r="Z23" s="1635"/>
      <c r="AA23" s="1635"/>
      <c r="AB23" s="1635"/>
      <c r="AC23" s="1635"/>
      <c r="AD23" s="1635"/>
      <c r="AE23" s="1635"/>
      <c r="AF23" s="1635"/>
      <c r="AG23" s="1635"/>
      <c r="AH23" s="1635"/>
      <c r="AI23" s="1635"/>
      <c r="AQ23" s="1631">
        <v>14</v>
      </c>
    </row>
    <row customHeight="1" ht="39.75">
      <c r="Q24" s="291"/>
      <c r="R24" s="376"/>
      <c r="S24" s="2248" t="str">
        <f>IF(TEMPLATE_GROUP="P",PT_P_FORM_HEAT_7_NAME_FORM,PT_R_FORM_HEAT_24_NAME_FORM)</f>
        <v>Форма 22. Информация о предложении регулируемой организации о расчетной величине платы за подключение (технологическое присоединение) к системе теплоснабжения, о расчетной величине платы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v>
      </c>
      <c r="T24" s="2248"/>
      <c r="U24" s="2248"/>
      <c r="V24" s="2248"/>
      <c r="W24" s="2248"/>
      <c r="X24" s="2248"/>
      <c r="Y24" s="2248"/>
      <c r="Z24" s="2248"/>
      <c r="AA24" s="2248"/>
      <c r="AB24" s="2248"/>
      <c r="AC24" s="2248"/>
      <c r="AD24" s="2248"/>
      <c r="AE24" s="2248"/>
      <c r="AF24" s="2248"/>
      <c r="AG24" s="2248"/>
      <c r="AH24" s="2248"/>
      <c r="AI24" s="1243"/>
      <c r="AQ24" s="1631">
        <v>38</v>
      </c>
    </row>
    <row customHeight="1" ht="14.699999999999998">
      <c r="Q25" s="291"/>
      <c r="R25" s="376"/>
      <c r="S25" s="2249" t="str">
        <f>IF(org=0,"Не определено",org)</f>
        <v>ПАО "ОГК-2"</v>
      </c>
      <c r="T25" s="2249"/>
      <c r="U25" s="2249"/>
      <c r="V25" s="2249"/>
      <c r="W25" s="2249"/>
      <c r="X25" s="2249"/>
      <c r="Y25" s="2249"/>
      <c r="Z25" s="2249"/>
      <c r="AA25" s="2249"/>
      <c r="AB25" s="2249"/>
      <c r="AC25" s="2249"/>
      <c r="AD25" s="2249"/>
      <c r="AE25" s="2249"/>
      <c r="AF25" s="2249"/>
      <c r="AG25" s="2249"/>
      <c r="AH25" s="2249"/>
      <c r="AI25" s="1243"/>
      <c r="AQ25" s="1631">
        <v>14</v>
      </c>
    </row>
    <row customHeight="1" ht="14.25" hidden="1">
      <c r="Q26" s="291"/>
      <c r="R26" s="376"/>
      <c r="S26" s="1275"/>
      <c r="T26" s="457"/>
      <c r="U26" s="457"/>
      <c r="V26" s="322"/>
      <c r="W26" s="322"/>
      <c r="X26" s="322"/>
      <c r="Y26" s="322"/>
      <c r="Z26" s="322"/>
      <c r="AA26" s="322"/>
      <c r="AB26" s="322"/>
      <c r="AC26" s="322"/>
      <c r="AD26" s="322"/>
      <c r="AE26" s="322"/>
      <c r="AF26" s="322"/>
      <c r="AG26" s="322"/>
      <c r="AH26" s="322"/>
      <c r="AI26" s="322"/>
      <c r="AJ26" s="1635"/>
      <c r="AQ26" s="1631">
        <v>0</v>
      </c>
    </row>
    <row s="1853" customFormat="1" customHeight="1" ht="25.5" hidden="1">
      <c r="A27" s="1248"/>
      <c r="B27" s="1248"/>
      <c r="C27" s="1248"/>
      <c r="D27" s="1248"/>
      <c r="E27" s="1248"/>
      <c r="F27" s="1248"/>
      <c r="G27" s="1248"/>
      <c r="H27" s="1248"/>
      <c r="I27" s="1248"/>
      <c r="J27" s="1248"/>
      <c r="K27" s="1248"/>
      <c r="L27" s="1380"/>
      <c r="M27" s="1248"/>
      <c r="N27" s="1248"/>
      <c r="O27" s="1248"/>
      <c r="P27" s="1368"/>
      <c r="Q27" s="1368"/>
      <c r="S27" s="2250" t="s">
        <v>42</v>
      </c>
      <c r="T27" s="2250"/>
      <c r="U27" s="1372"/>
      <c r="V27" s="2251" t="str">
        <f>IF(TITLE_NAME_OR_PR_CHANGE="",IF(TITLE_NAME_OR_PR="","",TITLE_NAME_OR_PR),TITLE_NAME_OR_PR_CHANGE)</f>
        <v/>
      </c>
      <c r="W27" s="2251"/>
      <c r="X27" s="2251"/>
      <c r="Y27" s="2251"/>
      <c r="Z27" s="2251"/>
      <c r="AA27" s="1635"/>
      <c r="AB27" s="1635"/>
      <c r="AC27" s="2251"/>
      <c r="AD27" s="2251"/>
      <c r="AE27" s="2251"/>
      <c r="AF27" s="2251"/>
      <c r="AG27" s="2251"/>
      <c r="AH27" s="2251"/>
      <c r="AI27" s="1635"/>
      <c r="AJ27" s="1635"/>
      <c r="AK27" s="280"/>
      <c r="AL27" s="368"/>
      <c r="AM27" s="368"/>
      <c r="AN27" s="368"/>
      <c r="AO27" s="368"/>
      <c r="AP27" s="368"/>
      <c r="AQ27" s="418">
        <v>0</v>
      </c>
    </row>
    <row s="1853" customFormat="1" customHeight="1" ht="18.75" hidden="1">
      <c r="A28" s="1248"/>
      <c r="B28" s="1248"/>
      <c r="C28" s="1248"/>
      <c r="D28" s="1248"/>
      <c r="E28" s="1248"/>
      <c r="F28" s="1248"/>
      <c r="G28" s="1248"/>
      <c r="H28" s="1248"/>
      <c r="I28" s="1248"/>
      <c r="J28" s="1248"/>
      <c r="K28" s="1248"/>
      <c r="L28" s="1380"/>
      <c r="M28" s="1248"/>
      <c r="N28" s="1248"/>
      <c r="O28" s="1248"/>
      <c r="P28" s="1368"/>
      <c r="Q28" s="1368"/>
      <c r="S28" s="2250" t="s">
        <v>425</v>
      </c>
      <c r="T28" s="2250"/>
      <c r="U28" s="1372"/>
      <c r="V28" s="2264" t="str">
        <f>IF(TITLE_DATE_PR_CHANGE="",IF(TITLE_DATE_PR="","",TITLE_DATE_PR),TITLE_DATE_PR_CHANGE)</f>
        <v/>
      </c>
      <c r="W28" s="2264"/>
      <c r="X28" s="2264"/>
      <c r="Y28" s="2264"/>
      <c r="Z28" s="2264"/>
      <c r="AA28" s="1635"/>
      <c r="AB28" s="1635"/>
      <c r="AC28" s="2264"/>
      <c r="AD28" s="2264"/>
      <c r="AE28" s="2264"/>
      <c r="AF28" s="2264"/>
      <c r="AG28" s="2264"/>
      <c r="AH28" s="2264"/>
      <c r="AI28" s="1635"/>
      <c r="AJ28" s="1635"/>
      <c r="AK28" s="280"/>
      <c r="AL28" s="368"/>
      <c r="AM28" s="368"/>
      <c r="AN28" s="368"/>
      <c r="AO28" s="368"/>
      <c r="AP28" s="368"/>
      <c r="AQ28" s="418">
        <v>0</v>
      </c>
    </row>
    <row s="1853" customFormat="1" customHeight="1" ht="18.75" hidden="1">
      <c r="A29" s="1248"/>
      <c r="B29" s="1248"/>
      <c r="C29" s="1248"/>
      <c r="D29" s="1248"/>
      <c r="E29" s="1248"/>
      <c r="F29" s="1248"/>
      <c r="G29" s="1248"/>
      <c r="H29" s="1248"/>
      <c r="I29" s="1248"/>
      <c r="J29" s="1248"/>
      <c r="K29" s="1248"/>
      <c r="L29" s="1380"/>
      <c r="M29" s="1248"/>
      <c r="N29" s="1248"/>
      <c r="O29" s="1248"/>
      <c r="P29" s="1368"/>
      <c r="Q29" s="1368"/>
      <c r="S29" s="2250" t="s">
        <v>426</v>
      </c>
      <c r="T29" s="2250"/>
      <c r="U29" s="1372"/>
      <c r="V29" s="2251" t="str">
        <f>IF(TITLE_NUMBER_PR_CHANGE="",IF(TITLE_NUMBER_PR="","",TITLE_NUMBER_PR),TITLE_NUMBER_PR_CHANGE)</f>
        <v/>
      </c>
      <c r="W29" s="2251"/>
      <c r="X29" s="2251"/>
      <c r="Y29" s="2251"/>
      <c r="Z29" s="2251"/>
      <c r="AA29" s="1635"/>
      <c r="AB29" s="1635"/>
      <c r="AC29" s="2251"/>
      <c r="AD29" s="2251"/>
      <c r="AE29" s="2251"/>
      <c r="AF29" s="2251"/>
      <c r="AG29" s="2251"/>
      <c r="AH29" s="2251"/>
      <c r="AI29" s="1635"/>
      <c r="AJ29" s="1635"/>
      <c r="AK29" s="280"/>
      <c r="AL29" s="368"/>
      <c r="AM29" s="368"/>
      <c r="AN29" s="368"/>
      <c r="AO29" s="368"/>
      <c r="AP29" s="368"/>
      <c r="AQ29" s="418">
        <v>0</v>
      </c>
    </row>
    <row s="1853" customFormat="1" customHeight="1" ht="18.75" hidden="1">
      <c r="A30" s="1248"/>
      <c r="B30" s="1248"/>
      <c r="C30" s="1248"/>
      <c r="D30" s="1248"/>
      <c r="E30" s="1248"/>
      <c r="F30" s="1248"/>
      <c r="G30" s="1248"/>
      <c r="H30" s="1248"/>
      <c r="I30" s="1248"/>
      <c r="J30" s="1248"/>
      <c r="K30" s="1248"/>
      <c r="L30" s="1380"/>
      <c r="M30" s="1248"/>
      <c r="N30" s="1248"/>
      <c r="O30" s="1248"/>
      <c r="P30" s="1368"/>
      <c r="Q30" s="1368"/>
      <c r="S30" s="2250" t="s">
        <v>43</v>
      </c>
      <c r="T30" s="2250"/>
      <c r="U30" s="1372"/>
      <c r="V30" s="2251" t="str">
        <f>IF(TITLE_IST_PUB_CHANGE="",IF(TITLE_IST_PUB="","",TITLE_IST_PUB),TITLE_IST_PUB_CHANGE)</f>
        <v/>
      </c>
      <c r="W30" s="2251"/>
      <c r="X30" s="2251"/>
      <c r="Y30" s="2251"/>
      <c r="Z30" s="2251"/>
      <c r="AA30" s="1635"/>
      <c r="AB30" s="1635"/>
      <c r="AC30" s="2251"/>
      <c r="AD30" s="2251"/>
      <c r="AE30" s="2251"/>
      <c r="AF30" s="2251"/>
      <c r="AG30" s="2251"/>
      <c r="AH30" s="2251"/>
      <c r="AI30" s="1635"/>
      <c r="AJ30" s="1635"/>
      <c r="AK30" s="280"/>
      <c r="AL30" s="368"/>
      <c r="AM30" s="368"/>
      <c r="AN30" s="368"/>
      <c r="AO30" s="368"/>
      <c r="AP30" s="368"/>
      <c r="AQ30" s="418">
        <v>0</v>
      </c>
    </row>
    <row customHeight="1" ht="14.25" hidden="1">
      <c r="Q31" s="291"/>
      <c r="R31" s="376"/>
      <c r="S31" s="1275"/>
      <c r="T31" s="457"/>
      <c r="U31" s="457"/>
      <c r="V31" s="322"/>
      <c r="W31" s="322"/>
      <c r="X31" s="322"/>
      <c r="Y31" s="322"/>
      <c r="Z31" s="322"/>
      <c r="AA31" s="322"/>
      <c r="AB31" s="322"/>
      <c r="AC31" s="322"/>
      <c r="AD31" s="322"/>
      <c r="AE31" s="322"/>
      <c r="AF31" s="322"/>
      <c r="AG31" s="322"/>
      <c r="AH31" s="322"/>
      <c r="AI31" s="322"/>
      <c r="AJ31" s="1635"/>
      <c r="AQ31" s="1631">
        <v>0</v>
      </c>
    </row>
    <row s="1853" customFormat="1" customHeight="1" ht="18.75" hidden="1">
      <c r="A32" s="1248"/>
      <c r="B32" s="1248"/>
      <c r="C32" s="1248"/>
      <c r="D32" s="1248"/>
      <c r="E32" s="1248"/>
      <c r="F32" s="1248"/>
      <c r="G32" s="1248"/>
      <c r="H32" s="1248"/>
      <c r="I32" s="1248"/>
      <c r="J32" s="1248"/>
      <c r="K32" s="1248"/>
      <c r="L32" s="1380"/>
      <c r="M32" s="1248"/>
      <c r="N32" s="1248"/>
      <c r="O32" s="1248"/>
      <c r="P32" s="1368"/>
      <c r="Q32" s="1368"/>
      <c r="S32" s="2250" t="s">
        <v>425</v>
      </c>
      <c r="T32" s="2250"/>
      <c r="U32" s="1372"/>
      <c r="V32" s="2264" t="str">
        <f>IF(TITLE_DATE_PR_CHANGE="",IF(TITLE_DATE_PR="","",TITLE_DATE_PR),TITLE_DATE_PR_CHANGE)</f>
        <v/>
      </c>
      <c r="W32" s="2264"/>
      <c r="X32" s="2264"/>
      <c r="Y32" s="2264"/>
      <c r="Z32" s="2264"/>
      <c r="AA32" s="1635"/>
      <c r="AB32" s="1635"/>
      <c r="AC32" s="2264"/>
      <c r="AD32" s="2264"/>
      <c r="AE32" s="2264"/>
      <c r="AF32" s="2264"/>
      <c r="AG32" s="2264"/>
      <c r="AH32" s="2264"/>
      <c r="AI32" s="1635"/>
      <c r="AJ32" s="1635"/>
      <c r="AK32" s="280"/>
      <c r="AL32" s="368"/>
      <c r="AM32" s="368"/>
      <c r="AN32" s="368"/>
      <c r="AO32" s="368"/>
      <c r="AP32" s="368"/>
      <c r="AQ32" s="418">
        <v>0</v>
      </c>
    </row>
    <row s="1853" customFormat="1" customHeight="1" ht="18" hidden="1">
      <c r="A33" s="1248"/>
      <c r="B33" s="1248"/>
      <c r="C33" s="1248"/>
      <c r="D33" s="1248"/>
      <c r="E33" s="1248"/>
      <c r="F33" s="1248"/>
      <c r="G33" s="1248"/>
      <c r="H33" s="1248"/>
      <c r="I33" s="1248"/>
      <c r="J33" s="1248"/>
      <c r="K33" s="1248"/>
      <c r="L33" s="1380"/>
      <c r="M33" s="1248"/>
      <c r="N33" s="1248"/>
      <c r="O33" s="1248"/>
      <c r="P33" s="1368"/>
      <c r="Q33" s="1368"/>
      <c r="S33" s="2250" t="s">
        <v>426</v>
      </c>
      <c r="T33" s="2250"/>
      <c r="U33" s="1372"/>
      <c r="V33" s="2251" t="str">
        <f>IF(TITLE_NUMBER_PR_CHANGE="",IF(TITLE_NUMBER_PR="","",TITLE_NUMBER_PR),TITLE_NUMBER_PR_CHANGE)</f>
        <v/>
      </c>
      <c r="W33" s="2251"/>
      <c r="X33" s="2251"/>
      <c r="Y33" s="2251"/>
      <c r="Z33" s="2251"/>
      <c r="AA33" s="1635"/>
      <c r="AB33" s="1635"/>
      <c r="AC33" s="2251"/>
      <c r="AD33" s="2251"/>
      <c r="AE33" s="2251"/>
      <c r="AF33" s="2251"/>
      <c r="AG33" s="2251"/>
      <c r="AH33" s="2251"/>
      <c r="AI33" s="1635"/>
      <c r="AJ33" s="1635"/>
      <c r="AK33" s="280"/>
      <c r="AL33" s="368"/>
      <c r="AM33" s="368"/>
      <c r="AN33" s="368"/>
      <c r="AO33" s="368"/>
      <c r="AP33" s="368"/>
      <c r="AQ33" s="418">
        <v>0</v>
      </c>
    </row>
    <row s="1853" customFormat="1" customHeight="1" ht="1.05">
      <c r="A34" s="1248"/>
      <c r="B34" s="1248"/>
      <c r="C34" s="1248"/>
      <c r="D34" s="1248"/>
      <c r="E34" s="1248"/>
      <c r="F34" s="1248"/>
      <c r="G34" s="1248"/>
      <c r="H34" s="1248"/>
      <c r="I34" s="1248"/>
      <c r="J34" s="1248"/>
      <c r="K34" s="1248"/>
      <c r="L34" s="1380"/>
      <c r="M34" s="1248"/>
      <c r="N34" s="1248"/>
      <c r="O34" s="1248"/>
      <c r="P34" s="1368"/>
      <c r="Q34" s="1368"/>
      <c r="S34" s="1635"/>
      <c r="T34" s="1635"/>
      <c r="U34" s="1970"/>
      <c r="V34" s="1635"/>
      <c r="W34" s="1635"/>
      <c r="X34" s="1635"/>
      <c r="Y34" s="1635"/>
      <c r="Z34" s="1635"/>
      <c r="AA34" s="1642" t="s">
        <v>429</v>
      </c>
      <c r="AB34" s="1642"/>
      <c r="AC34" s="1635"/>
      <c r="AD34" s="1635"/>
      <c r="AE34" s="1635"/>
      <c r="AF34" s="1635"/>
      <c r="AG34" s="1635"/>
      <c r="AH34" s="1635"/>
      <c r="AI34" s="1642" t="s">
        <v>429</v>
      </c>
      <c r="AL34" s="368"/>
      <c r="AM34" s="368"/>
      <c r="AN34" s="368"/>
      <c r="AO34" s="368"/>
      <c r="AP34" s="368"/>
      <c r="AQ34" s="418">
        <v>1</v>
      </c>
    </row>
    <row customHeight="1" ht="14.699999999999998">
      <c r="Q35" s="291"/>
      <c r="R35" s="376"/>
      <c r="S35" s="1275"/>
      <c r="T35" s="457"/>
      <c r="U35" s="1244"/>
      <c r="V35" s="2252"/>
      <c r="W35" s="2252"/>
      <c r="X35" s="2252"/>
      <c r="Y35" s="2252"/>
      <c r="Z35" s="2252"/>
      <c r="AA35" s="2252"/>
      <c r="AB35" s="1957"/>
      <c r="AC35" s="2252"/>
      <c r="AD35" s="2252"/>
      <c r="AE35" s="2252"/>
      <c r="AF35" s="2252"/>
      <c r="AG35" s="2252"/>
      <c r="AH35" s="2252"/>
      <c r="AI35" s="2252"/>
      <c r="AQ35" s="1631">
        <v>14</v>
      </c>
    </row>
    <row customHeight="1" ht="14.699999999999998">
      <c r="Q36" s="291"/>
      <c r="R36" s="376"/>
      <c r="S36" s="2127" t="s">
        <v>302</v>
      </c>
      <c r="T36" s="2127"/>
      <c r="U36" s="2127"/>
      <c r="V36" s="2127"/>
      <c r="W36" s="2127"/>
      <c r="X36" s="2127"/>
      <c r="Y36" s="2127"/>
      <c r="Z36" s="2127"/>
      <c r="AA36" s="2175"/>
      <c r="AB36" s="2175"/>
      <c r="AC36" s="2175"/>
      <c r="AD36" s="2127"/>
      <c r="AE36" s="2127"/>
      <c r="AF36" s="2127"/>
      <c r="AG36" s="2127"/>
      <c r="AH36" s="2127"/>
      <c r="AI36" s="2127"/>
      <c r="AJ36" s="2127"/>
      <c r="AK36" s="2127" t="s">
        <v>303</v>
      </c>
      <c r="AQ36" s="1631">
        <v>14</v>
      </c>
    </row>
    <row customHeight="1" ht="14.699999999999998">
      <c r="Q37" s="291"/>
      <c r="R37" s="376"/>
      <c r="S37" s="2273" t="s">
        <v>88</v>
      </c>
      <c r="T37" s="2209" t="s">
        <v>501</v>
      </c>
      <c r="U37" s="337"/>
      <c r="V37" s="2275"/>
      <c r="W37" s="2275"/>
      <c r="X37" s="2275"/>
      <c r="Y37" s="2275"/>
      <c r="Z37" s="2275"/>
      <c r="AA37" s="2209" t="s">
        <v>432</v>
      </c>
      <c r="AB37" s="2208" t="s">
        <v>502</v>
      </c>
      <c r="AC37" s="2208" t="s">
        <v>476</v>
      </c>
      <c r="AD37" s="2291" t="s">
        <v>431</v>
      </c>
      <c r="AE37" s="2291"/>
      <c r="AF37" s="2275"/>
      <c r="AG37" s="2275"/>
      <c r="AH37" s="2276"/>
      <c r="AI37" s="2277" t="s">
        <v>432</v>
      </c>
      <c r="AJ37" s="2280" t="s">
        <v>434</v>
      </c>
      <c r="AK37" s="2127"/>
      <c r="AQ37" s="1631">
        <v>14</v>
      </c>
    </row>
    <row customHeight="1" ht="35.699999999999996">
      <c r="Q38" s="291"/>
      <c r="R38" s="376"/>
      <c r="S38" s="2273"/>
      <c r="T38" s="2209"/>
      <c r="U38" s="1031"/>
      <c r="V38" s="2103" t="s">
        <v>479</v>
      </c>
      <c r="W38" s="2127"/>
      <c r="X38" s="2294" t="s">
        <v>438</v>
      </c>
      <c r="Y38" s="2313"/>
      <c r="Z38" s="2313"/>
      <c r="AA38" s="2209"/>
      <c r="AB38" s="2208"/>
      <c r="AC38" s="2208"/>
      <c r="AD38" s="2103" t="s">
        <v>479</v>
      </c>
      <c r="AE38" s="2127"/>
      <c r="AF38" s="2313" t="s">
        <v>438</v>
      </c>
      <c r="AG38" s="2313"/>
      <c r="AH38" s="2314"/>
      <c r="AI38" s="2278"/>
      <c r="AJ38" s="2281"/>
      <c r="AK38" s="2127"/>
      <c r="AQ38" s="1631">
        <v>34</v>
      </c>
    </row>
    <row customHeight="1" ht="14.699999999999998">
      <c r="Q39" s="291"/>
      <c r="R39" s="376"/>
      <c r="S39" s="2273"/>
      <c r="T39" s="2209"/>
      <c r="U39" s="1031"/>
      <c r="V39" s="2340" t="str">
        <f>IF($AD$39&lt;&gt;"",$AD$39,"")</f>
        <v/>
      </c>
      <c r="W39" s="2340"/>
      <c r="X39" s="2295"/>
      <c r="Y39" s="2315"/>
      <c r="Z39" s="2315"/>
      <c r="AA39" s="2209"/>
      <c r="AB39" s="2208"/>
      <c r="AC39" s="2208"/>
      <c r="AD39" s="2356"/>
      <c r="AE39" s="2339"/>
      <c r="AF39" s="2315"/>
      <c r="AG39" s="2315"/>
      <c r="AH39" s="2316"/>
      <c r="AI39" s="2278"/>
      <c r="AJ39" s="2281"/>
      <c r="AK39" s="2127"/>
      <c r="AQ39" s="1631">
        <v>14</v>
      </c>
    </row>
    <row customHeight="1" ht="14.699999999999998">
      <c r="A40" s="1266"/>
      <c r="B40" s="1266" t="s">
        <v>139</v>
      </c>
      <c r="C40" s="1266" t="s">
        <v>140</v>
      </c>
      <c r="D40" s="1266" t="s">
        <v>141</v>
      </c>
      <c r="E40" s="1310" t="s">
        <v>439</v>
      </c>
      <c r="F40" s="1310" t="s">
        <v>440</v>
      </c>
      <c r="G40" s="1310" t="s">
        <v>441</v>
      </c>
      <c r="H40" s="1310" t="s">
        <v>442</v>
      </c>
      <c r="I40" s="1310" t="s">
        <v>443</v>
      </c>
      <c r="J40" s="1310" t="s">
        <v>444</v>
      </c>
      <c r="K40" s="1310" t="s">
        <v>445</v>
      </c>
      <c r="L40" s="1310" t="s">
        <v>420</v>
      </c>
      <c r="Q40" s="291"/>
      <c r="R40" s="376"/>
      <c r="S40" s="2273"/>
      <c r="T40" s="2209"/>
      <c r="U40" s="302"/>
      <c r="V40" s="1950" t="s">
        <v>480</v>
      </c>
      <c r="W40" s="1950" t="s">
        <v>481</v>
      </c>
      <c r="X40" s="1938" t="s">
        <v>448</v>
      </c>
      <c r="Y40" s="2270" t="s">
        <v>449</v>
      </c>
      <c r="Z40" s="2320"/>
      <c r="AA40" s="2209"/>
      <c r="AB40" s="2208"/>
      <c r="AC40" s="2208"/>
      <c r="AD40" s="1968" t="s">
        <v>480</v>
      </c>
      <c r="AE40" s="1959" t="s">
        <v>481</v>
      </c>
      <c r="AF40" s="1938" t="s">
        <v>448</v>
      </c>
      <c r="AG40" s="2270" t="s">
        <v>449</v>
      </c>
      <c r="AH40" s="2271"/>
      <c r="AI40" s="2279"/>
      <c r="AJ40" s="2282"/>
      <c r="AK40" s="2127"/>
      <c r="AQ40" s="1631">
        <v>14</v>
      </c>
    </row>
    <row s="1641" customFormat="1" customHeight="1" ht="11.25" hidden="1">
      <c r="A41" s="1266"/>
      <c r="B41" s="1266"/>
      <c r="C41" s="1266"/>
      <c r="D41" s="1266"/>
      <c r="E41" s="1266"/>
      <c r="F41" s="1266"/>
      <c r="G41" s="1266"/>
      <c r="H41" s="1266"/>
      <c r="I41" s="1266"/>
      <c r="J41" s="1266"/>
      <c r="K41" s="1266"/>
      <c r="L41" s="1310"/>
      <c r="M41" s="1965"/>
      <c r="N41" s="1965"/>
      <c r="O41" s="1965"/>
      <c r="P41" s="510"/>
      <c r="Q41" s="1254"/>
      <c r="R41" s="1254">
        <v>1</v>
      </c>
      <c r="S41" s="1277" t="s">
        <v>109</v>
      </c>
      <c r="T41" s="1255" t="s">
        <v>110</v>
      </c>
      <c r="U41" s="1245" t="str">
        <f>OFFSET(U41,0,-1)</f>
        <v>2</v>
      </c>
      <c r="V41" s="1956">
        <f>OFFSET(V41,0,-1)+1</f>
        <v>3</v>
      </c>
      <c r="W41" s="1956">
        <f>OFFSET(W41,0,-1)+1</f>
        <v>4</v>
      </c>
      <c r="X41" s="1956">
        <f>OFFSET(X41,0,-1)+1</f>
        <v>5</v>
      </c>
      <c r="Y41" s="2272">
        <f>OFFSET(Y41,0,-1)+1</f>
        <v>6</v>
      </c>
      <c r="Z41" s="2272"/>
      <c r="AA41" s="1341">
        <f>OFFSET(AA41,0,-2)+1</f>
        <v>7</v>
      </c>
      <c r="AB41" s="1341"/>
      <c r="AC41" s="1341"/>
      <c r="AD41" s="1956">
        <f>OFFSET(AD41,0,-1)+1</f>
        <v>1</v>
      </c>
      <c r="AE41" s="1956">
        <f>OFFSET(AE41,0,-1)+1</f>
        <v>2</v>
      </c>
      <c r="AF41" s="1956">
        <f>OFFSET(AF41,0,-1)+1</f>
        <v>3</v>
      </c>
      <c r="AG41" s="2272">
        <f>OFFSET(AG41,0,-1)+1</f>
        <v>4</v>
      </c>
      <c r="AH41" s="2272"/>
      <c r="AI41" s="1956">
        <f>OFFSET(AI41,0,-2)+1</f>
        <v>5</v>
      </c>
      <c r="AJ41" s="1245">
        <f>OFFSET(AJ41,0,-1)</f>
        <v>5</v>
      </c>
      <c r="AK41" s="1956">
        <f>OFFSET(AK41,0,-1)+1</f>
        <v>6</v>
      </c>
      <c r="AL41" s="1636"/>
      <c r="AM41" s="1636"/>
      <c r="AN41" s="1636"/>
      <c r="AO41" s="1636"/>
      <c r="AP41" s="1636"/>
      <c r="AQ41" s="1641">
        <v>0</v>
      </c>
    </row>
    <row customHeight="1" ht="107.25">
      <c r="A42" s="1267" t="s">
        <v>208</v>
      </c>
      <c r="B42" s="1267"/>
      <c r="C42" s="1267"/>
      <c r="D42" s="1267"/>
      <c r="E42" s="2289">
        <v>1</v>
      </c>
      <c r="F42" s="1267"/>
      <c r="G42" s="1267"/>
      <c r="H42" s="1267"/>
      <c r="I42" s="1267"/>
      <c r="J42" s="1267"/>
      <c r="K42" s="1267"/>
      <c r="L42" s="1310"/>
      <c r="M42" s="1610"/>
      <c r="N42" s="1610"/>
      <c r="O42" s="1610"/>
      <c r="P42" s="1409"/>
      <c r="Q42" s="873"/>
      <c r="R42" s="355"/>
      <c r="S42" s="1958">
        <f>INDEX(PT_DIFFERENTIATION_NUM_NTAR,MATCH(A42,PT_DIFFERENTIATION_NTAR_ID,0))</f>
        <v>0</v>
      </c>
      <c r="T42" s="1525" t="s">
        <v>127</v>
      </c>
      <c r="U42" s="300"/>
      <c r="V42" s="2243"/>
      <c r="W42" s="2243"/>
      <c r="X42" s="2243"/>
      <c r="Y42" s="2243"/>
      <c r="Z42" s="2243"/>
      <c r="AA42" s="2244"/>
      <c r="AB42" s="1952"/>
      <c r="AC42" s="2243" t="str">
        <f>INDEX(PT_DIFFERENTIATION_NTAR,MATCH(A42,PT_DIFFERENTIATION_NTAR_ID,0))</f>
        <v/>
      </c>
      <c r="AD42" s="2243"/>
      <c r="AE42" s="2243"/>
      <c r="AF42" s="2243"/>
      <c r="AG42" s="2243"/>
      <c r="AH42" s="2243"/>
      <c r="AI42" s="2243"/>
      <c r="AJ42" s="2244"/>
      <c r="AK42" s="1258" t="str">
        <f>IF(TEMPLATE_GROUP="P","По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г."&amp;" N 190-ФЗ ""О теплоснабжении"", теплоснабжающей организации, теплосетевой организации в ценовых зонах теплоснабжения. "&amp;"Указывается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
"&amp;"Указываются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"&amp;"цены (тарифа), источник официального опубликования решения об установлении цены (тарифа) в сфере теплоснабжения.","По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статьи"&amp;" 23 4 Федерального закона от 27 июля 2010 г. N 190-ФЗ ""О теплоснабжении"".
"&amp;"По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190-ФЗ"&amp;" Федерального закона ""О теплоснабжении"", теплоснабжающей организации, теплосетевой организации в ценовых зонах теплоснабжения.
"&amp;"В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индивидуальном"&amp;" порядке - в тыс.руб.; в отношении льготного размера платы за подключение - в руб.
"&amp;"Указывается наименование тарифа в случае расчета нескольких тарифов. 
"&amp;"В случае наличия нескольких тарифов информация по ним указывается в отдельных строках.")</f>
        <v>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
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 Федерального закона "О теплоснабжении", теплоснабжающей организации, теплосетевой организации в ценовых зонах теплоснабжения.
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 порядке - в тыс.руб.; в отношении льготного размера платы за подключение - в руб.
Указывается наименование тарифа в случае расчета нескольких тарифов. 
В случае наличия нескольких тарифов информация по ним указывается в отдельных строках.</v>
      </c>
      <c r="AM42" s="1624"/>
      <c r="AN42" s="1624" t="str">
        <f>IF(T42="","",T42)</f>
        <v>Наименование тарифа</v>
      </c>
      <c r="AO42" s="1624"/>
      <c r="AP42" s="1624"/>
      <c r="AQ42" s="1631">
        <v>102</v>
      </c>
    </row>
    <row customHeight="1" ht="22.049999999999997">
      <c r="A43" s="1267" t="s">
        <v>208</v>
      </c>
      <c r="B43" s="1267" t="s">
        <v>209</v>
      </c>
      <c r="C43" s="1267"/>
      <c r="D43" s="1267"/>
      <c r="E43" s="2290"/>
      <c r="F43" s="2289">
        <v>1</v>
      </c>
      <c r="G43" s="1267"/>
      <c r="H43" s="1267"/>
      <c r="I43" s="1267"/>
      <c r="J43" s="1267"/>
      <c r="K43" s="1267"/>
      <c r="L43" s="1310"/>
      <c r="M43" s="1610"/>
      <c r="N43" s="1610"/>
      <c r="O43" s="1610"/>
      <c r="P43" s="1969"/>
      <c r="Q43" s="1411"/>
      <c r="R43" s="353"/>
      <c r="S43" s="1958" t="str">
        <f>INDEX(PT_DIFFERENTIATION_NUM_TER,MATCH(B43,PT_DIFFERENTIATION_TER_ID,0))</f>
        <v>.</v>
      </c>
      <c r="T43" s="1522" t="s">
        <v>399</v>
      </c>
      <c r="U43" s="300"/>
      <c r="V43" s="2243"/>
      <c r="W43" s="2243"/>
      <c r="X43" s="2243"/>
      <c r="Y43" s="2243"/>
      <c r="Z43" s="2243"/>
      <c r="AA43" s="2244"/>
      <c r="AB43" s="1952"/>
      <c r="AC43" s="2243" t="str">
        <f>INDEX(PT_DIFFERENTIATION_TER,MATCH(B43,PT_DIFFERENTIATION_TER_ID,0))</f>
        <v/>
      </c>
      <c r="AD43" s="2243"/>
      <c r="AE43" s="2243"/>
      <c r="AF43" s="2243"/>
      <c r="AG43" s="2243"/>
      <c r="AH43" s="2243"/>
      <c r="AI43" s="2243"/>
      <c r="AJ43" s="2244"/>
      <c r="AK43" s="1258" t="s">
        <v>400</v>
      </c>
      <c r="AM43" s="1624"/>
      <c r="AN43" s="1624" t="str">
        <f>IF(T43="","",T43)</f>
        <v>Территория действия тарифа</v>
      </c>
      <c r="AO43" s="1624"/>
      <c r="AP43" s="1624"/>
      <c r="AQ43" s="1631">
        <v>21</v>
      </c>
    </row>
    <row customHeight="1" ht="24">
      <c r="A44" s="1267" t="s">
        <v>208</v>
      </c>
      <c r="B44" s="1267" t="s">
        <v>209</v>
      </c>
      <c r="C44" s="1267" t="s">
        <v>210</v>
      </c>
      <c r="D44" s="1267"/>
      <c r="E44" s="2290"/>
      <c r="F44" s="2290"/>
      <c r="G44" s="2289">
        <v>1</v>
      </c>
      <c r="H44" s="1267"/>
      <c r="I44" s="1267"/>
      <c r="J44" s="1267"/>
      <c r="K44" s="1267"/>
      <c r="L44" s="1310"/>
      <c r="M44" s="1610"/>
      <c r="N44" s="1610"/>
      <c r="O44" s="1610"/>
      <c r="P44" s="1412"/>
      <c r="Q44" s="1411"/>
      <c r="R44" s="353"/>
      <c r="S44" s="1958" t="str">
        <f>INDEX(PT_DIFFERENTIATION_NUM_CS,MATCH(C44,PT_DIFFERENTIATION_CS_ID,0))</f>
        <v>..</v>
      </c>
      <c r="T44" s="309" t="s">
        <v>401</v>
      </c>
      <c r="U44" s="300"/>
      <c r="V44" s="2243"/>
      <c r="W44" s="2243"/>
      <c r="X44" s="2243"/>
      <c r="Y44" s="2243"/>
      <c r="Z44" s="2243"/>
      <c r="AA44" s="2244"/>
      <c r="AB44" s="1952"/>
      <c r="AC44" s="2243" t="str">
        <f>INDEX(PT_DIFFERENTIATION_CS,MATCH(C44,PT_DIFFERENTIATION_CS_ID,0))</f>
        <v/>
      </c>
      <c r="AD44" s="2243"/>
      <c r="AE44" s="2243"/>
      <c r="AF44" s="2243"/>
      <c r="AG44" s="2243"/>
      <c r="AH44" s="2243"/>
      <c r="AI44" s="2243"/>
      <c r="AJ44" s="2244"/>
      <c r="AK44" s="1258" t="s">
        <v>402</v>
      </c>
      <c r="AM44" s="1624"/>
      <c r="AN44" s="1624" t="str">
        <f>IF(T44="","",T44)</f>
        <v>Наименование системы теплоснабжения </v>
      </c>
      <c r="AO44" s="1624"/>
      <c r="AP44" s="1624"/>
      <c r="AQ44" s="1631">
        <v>23</v>
      </c>
    </row>
    <row customHeight="1" ht="22.049999999999997">
      <c r="A45" s="1267" t="s">
        <v>208</v>
      </c>
      <c r="B45" s="1267" t="s">
        <v>209</v>
      </c>
      <c r="C45" s="1267" t="s">
        <v>210</v>
      </c>
      <c r="D45" s="1267" t="s">
        <v>211</v>
      </c>
      <c r="E45" s="2290"/>
      <c r="F45" s="2290"/>
      <c r="G45" s="2290"/>
      <c r="H45" s="2289">
        <v>1</v>
      </c>
      <c r="I45" s="1267"/>
      <c r="J45" s="1267"/>
      <c r="K45" s="1267"/>
      <c r="L45" s="1310"/>
      <c r="M45" s="1610"/>
      <c r="N45" s="1610"/>
      <c r="O45" s="1610"/>
      <c r="P45" s="1412"/>
      <c r="Q45" s="1411"/>
      <c r="R45" s="353"/>
      <c r="S45" s="1958" t="str">
        <f>INDEX(PT_DIFFERENTIATION_NUM_IST_TE,MATCH(D45,PT_DIFFERENTIATION_IST_TE_ID,0))</f>
        <v>...</v>
      </c>
      <c r="T45" s="310" t="s">
        <v>403</v>
      </c>
      <c r="U45" s="300"/>
      <c r="V45" s="2243"/>
      <c r="W45" s="2243"/>
      <c r="X45" s="2243"/>
      <c r="Y45" s="2243"/>
      <c r="Z45" s="2243"/>
      <c r="AA45" s="2244"/>
      <c r="AB45" s="1952"/>
      <c r="AC45" s="2243" t="str">
        <f>INDEX(PT_DIFFERENTIATION_IST_TE,MATCH(D45,PT_DIFFERENTIATION_IST_TE_ID,0))</f>
        <v/>
      </c>
      <c r="AD45" s="2243"/>
      <c r="AE45" s="2243"/>
      <c r="AF45" s="2243"/>
      <c r="AG45" s="2243"/>
      <c r="AH45" s="2243"/>
      <c r="AI45" s="2243"/>
      <c r="AJ45" s="2244"/>
      <c r="AK45" s="1258" t="s">
        <v>404</v>
      </c>
      <c r="AM45" s="1624"/>
      <c r="AN45" s="1624" t="str">
        <f>IF(T45="","",T45)</f>
        <v>Источник тепловой энергии  </v>
      </c>
      <c r="AO45" s="1624"/>
      <c r="AP45" s="1624"/>
      <c r="AQ45" s="1631">
        <v>21</v>
      </c>
    </row>
    <row s="1642" customFormat="1" customHeight="1" ht="0">
      <c r="A46" s="1375" t="s">
        <v>208</v>
      </c>
      <c r="B46" s="1375" t="s">
        <v>209</v>
      </c>
      <c r="C46" s="1375" t="s">
        <v>210</v>
      </c>
      <c r="D46" s="1375" t="s">
        <v>211</v>
      </c>
      <c r="E46" s="2290"/>
      <c r="F46" s="2290"/>
      <c r="G46" s="2290"/>
      <c r="H46" s="2290"/>
      <c r="I46" s="2127" t="str">
        <f>S45&amp;".1"</f>
        <v>....1</v>
      </c>
      <c r="J46" s="1375"/>
      <c r="K46" s="1375"/>
      <c r="L46" s="1381" t="s">
        <v>405</v>
      </c>
      <c r="M46" s="1246"/>
      <c r="N46" s="1246"/>
      <c r="O46" s="1246"/>
      <c r="P46" s="2257">
        <v>1</v>
      </c>
      <c r="Q46" s="1954"/>
      <c r="R46" s="356"/>
      <c r="S46" s="1042"/>
      <c r="T46" s="1383"/>
      <c r="U46" s="1384"/>
      <c r="V46" s="2297"/>
      <c r="W46" s="2297"/>
      <c r="X46" s="2297"/>
      <c r="Y46" s="2297"/>
      <c r="Z46" s="2297"/>
      <c r="AA46" s="2298"/>
      <c r="AB46" s="1960"/>
      <c r="AC46" s="2297"/>
      <c r="AD46" s="2297"/>
      <c r="AE46" s="2297"/>
      <c r="AF46" s="2297"/>
      <c r="AG46" s="2297"/>
      <c r="AH46" s="2297"/>
      <c r="AI46" s="2297"/>
      <c r="AJ46" s="2298"/>
      <c r="AK46" s="1385"/>
      <c r="AM46" s="1624"/>
      <c r="AN46" s="1624" t="str">
        <f>IF(T46="","",T46)</f>
        <v/>
      </c>
      <c r="AO46" s="1624"/>
      <c r="AP46" s="1624"/>
      <c r="AQ46" s="1636">
        <v>0</v>
      </c>
    </row>
    <row s="1642" customFormat="1" customHeight="1" ht="0">
      <c r="A47" s="1375" t="s">
        <v>208</v>
      </c>
      <c r="B47" s="1375" t="s">
        <v>209</v>
      </c>
      <c r="C47" s="1375" t="s">
        <v>210</v>
      </c>
      <c r="D47" s="1375" t="s">
        <v>211</v>
      </c>
      <c r="E47" s="2290"/>
      <c r="F47" s="2290"/>
      <c r="G47" s="2290"/>
      <c r="H47" s="2290"/>
      <c r="I47" s="2101"/>
      <c r="J47" s="2127" t="str">
        <f>S45&amp;".1"</f>
        <v>....1</v>
      </c>
      <c r="K47" s="1375"/>
      <c r="L47" s="1381"/>
      <c r="M47" s="1246"/>
      <c r="N47" s="1246"/>
      <c r="O47" s="1246"/>
      <c r="P47" s="2257"/>
      <c r="Q47" s="2257">
        <v>1</v>
      </c>
      <c r="R47" s="357"/>
      <c r="S47" s="1042"/>
      <c r="T47" s="1399"/>
      <c r="U47" s="1384"/>
      <c r="V47" s="2297"/>
      <c r="W47" s="2297"/>
      <c r="X47" s="2297"/>
      <c r="Y47" s="2297"/>
      <c r="Z47" s="2297"/>
      <c r="AA47" s="2298"/>
      <c r="AB47" s="1960"/>
      <c r="AC47" s="2297"/>
      <c r="AD47" s="2297"/>
      <c r="AE47" s="2297"/>
      <c r="AF47" s="2297"/>
      <c r="AG47" s="2297"/>
      <c r="AH47" s="2297"/>
      <c r="AI47" s="2297"/>
      <c r="AJ47" s="2298"/>
      <c r="AK47" s="1385"/>
      <c r="AM47" s="1624"/>
      <c r="AN47" s="1624" t="str">
        <f>IF(T47="","",T47)</f>
        <v/>
      </c>
      <c r="AO47" s="1624"/>
      <c r="AP47" s="1624"/>
      <c r="AQ47" s="1636">
        <v>0</v>
      </c>
    </row>
    <row customHeight="1" ht="22.049999999999997">
      <c r="A48" s="1267" t="s">
        <v>208</v>
      </c>
      <c r="B48" s="1267" t="s">
        <v>209</v>
      </c>
      <c r="C48" s="1267" t="s">
        <v>210</v>
      </c>
      <c r="D48" s="1267" t="s">
        <v>211</v>
      </c>
      <c r="E48" s="2290"/>
      <c r="F48" s="2290"/>
      <c r="G48" s="2290"/>
      <c r="H48" s="2290"/>
      <c r="I48" s="2101"/>
      <c r="J48" s="2101"/>
      <c r="K48" s="1941" t="str">
        <f>S45&amp;".1"</f>
        <v>....1</v>
      </c>
      <c r="L48" s="1310"/>
      <c r="P48" s="2257"/>
      <c r="Q48" s="2257"/>
      <c r="R48" s="357">
        <v>1</v>
      </c>
      <c r="S48" s="1962" t="str">
        <f>$K48</f>
        <v>....1</v>
      </c>
      <c r="T48" s="1961"/>
      <c r="U48" s="300"/>
      <c r="V48" s="751"/>
      <c r="W48" s="1257"/>
      <c r="X48" s="1955"/>
      <c r="Y48" s="1942" t="s">
        <v>66</v>
      </c>
      <c r="Z48" s="1955"/>
      <c r="AA48" s="1942" t="s">
        <v>66</v>
      </c>
      <c r="AB48" s="1964"/>
      <c r="AC48" s="1963" t="s">
        <v>22</v>
      </c>
      <c r="AD48" s="751"/>
      <c r="AE48" s="1257"/>
      <c r="AF48" s="1955"/>
      <c r="AG48" s="1942" t="s">
        <v>66</v>
      </c>
      <c r="AH48" s="1955"/>
      <c r="AI48" s="1942" t="s">
        <v>66</v>
      </c>
      <c r="AJ48" s="1348"/>
      <c r="AK48" s="2253" t="s">
        <v>482</v>
      </c>
      <c r="AL48" s="1636">
        <f>STRCHECKDATE(#REF!)</f>
      </c>
      <c r="AM48" s="1624"/>
      <c r="AN48" s="1624" t="str">
        <f>IF(T48="","",T48)</f>
        <v/>
      </c>
      <c r="AO48" s="1624"/>
      <c r="AP48" s="1624"/>
      <c r="AQ48" s="1631">
        <v>21</v>
      </c>
    </row>
    <row customHeight="1" ht="11.549999999999999">
      <c r="A49" s="1267" t="s">
        <v>208</v>
      </c>
      <c r="B49" s="1267" t="s">
        <v>209</v>
      </c>
      <c r="C49" s="1267" t="s">
        <v>210</v>
      </c>
      <c r="D49" s="1267" t="s">
        <v>211</v>
      </c>
      <c r="E49" s="2290"/>
      <c r="F49" s="2290"/>
      <c r="G49" s="2290"/>
      <c r="H49" s="2290"/>
      <c r="I49" s="2101"/>
      <c r="J49" s="2127"/>
      <c r="K49" s="1267"/>
      <c r="L49" s="1310"/>
      <c r="P49" s="2257"/>
      <c r="Q49" s="2257"/>
      <c r="R49" s="356"/>
      <c r="S49" s="1278"/>
      <c r="T49" s="287" t="s">
        <v>470</v>
      </c>
      <c r="U49" s="600"/>
      <c r="V49" s="600"/>
      <c r="W49" s="600"/>
      <c r="X49" s="600"/>
      <c r="Y49" s="600"/>
      <c r="Z49" s="600"/>
      <c r="AA49" s="324"/>
      <c r="AB49" s="600"/>
      <c r="AC49" s="600"/>
      <c r="AD49" s="600"/>
      <c r="AE49" s="600"/>
      <c r="AF49" s="600"/>
      <c r="AG49" s="600"/>
      <c r="AH49" s="600"/>
      <c r="AI49" s="600"/>
      <c r="AJ49" s="324"/>
      <c r="AK49" s="2255"/>
      <c r="AM49" s="1624"/>
      <c r="AN49" s="1624" t="str">
        <f>IF(T49="","",T49)</f>
        <v>Добавить строку</v>
      </c>
      <c r="AO49" s="1624"/>
      <c r="AP49" s="1624"/>
      <c r="AQ49" s="1631">
        <v>11</v>
      </c>
    </row>
    <row s="1642" customFormat="1" customHeight="1" ht="1.05">
      <c r="A50" s="1375" t="s">
        <v>208</v>
      </c>
      <c r="B50" s="1375" t="s">
        <v>209</v>
      </c>
      <c r="C50" s="1375" t="s">
        <v>210</v>
      </c>
      <c r="D50" s="1375" t="s">
        <v>211</v>
      </c>
      <c r="E50" s="2290"/>
      <c r="F50" s="2290"/>
      <c r="G50" s="2290"/>
      <c r="H50" s="2290"/>
      <c r="I50" s="2127"/>
      <c r="J50" s="1375"/>
      <c r="K50" s="1375"/>
      <c r="L50" s="1381"/>
      <c r="M50" s="1246"/>
      <c r="N50" s="1246"/>
      <c r="O50" s="1246"/>
      <c r="P50" s="2257"/>
      <c r="Q50" s="1954"/>
      <c r="R50" s="356"/>
      <c r="S50" s="1386"/>
      <c r="T50" s="1387" t="s">
        <v>414</v>
      </c>
      <c r="U50" s="1388"/>
      <c r="V50" s="1388"/>
      <c r="W50" s="1388"/>
      <c r="X50" s="1388"/>
      <c r="Y50" s="1388"/>
      <c r="Z50" s="1388"/>
      <c r="AA50" s="1388"/>
      <c r="AB50" s="1388"/>
      <c r="AC50" s="1388"/>
      <c r="AD50" s="1388"/>
      <c r="AE50" s="1388"/>
      <c r="AF50" s="1388"/>
      <c r="AG50" s="1388"/>
      <c r="AH50" s="1388"/>
      <c r="AI50" s="1388"/>
      <c r="AJ50" s="1388"/>
      <c r="AK50" s="1389"/>
      <c r="AM50" s="1624"/>
      <c r="AN50" s="1624" t="str">
        <f>IF(T50="","",T50)</f>
        <v>Добавить группу потребителей</v>
      </c>
      <c r="AO50" s="1624"/>
      <c r="AP50" s="1624"/>
      <c r="AQ50" s="1636">
        <v>1</v>
      </c>
    </row>
    <row s="1641" customFormat="1" customHeight="1" ht="1.05">
      <c r="A51" s="1375" t="s">
        <v>208</v>
      </c>
      <c r="B51" s="1375" t="s">
        <v>209</v>
      </c>
      <c r="C51" s="1375" t="s">
        <v>210</v>
      </c>
      <c r="D51" s="1375" t="s">
        <v>211</v>
      </c>
      <c r="E51" s="2290"/>
      <c r="F51" s="2290"/>
      <c r="G51" s="2290"/>
      <c r="H51" s="2289"/>
      <c r="I51" s="1375"/>
      <c r="J51" s="1375"/>
      <c r="K51" s="1375"/>
      <c r="L51" s="1381"/>
      <c r="M51" s="1378"/>
      <c r="N51" s="1378"/>
      <c r="O51" s="351"/>
      <c r="P51" s="380"/>
      <c r="Q51" s="1344"/>
      <c r="R51" s="1400"/>
      <c r="S51" s="1386"/>
      <c r="T51" s="1387"/>
      <c r="U51" s="1388"/>
      <c r="V51" s="1388"/>
      <c r="W51" s="1388"/>
      <c r="X51" s="1388"/>
      <c r="Y51" s="1388"/>
      <c r="Z51" s="1388"/>
      <c r="AA51" s="1388"/>
      <c r="AB51" s="1388"/>
      <c r="AC51" s="1388"/>
      <c r="AD51" s="1388"/>
      <c r="AE51" s="1388"/>
      <c r="AF51" s="1388"/>
      <c r="AG51" s="1388"/>
      <c r="AH51" s="1388"/>
      <c r="AI51" s="1388"/>
      <c r="AJ51" s="1388"/>
      <c r="AK51" s="1389"/>
      <c r="AL51" s="1636"/>
      <c r="AM51" s="1624"/>
      <c r="AN51" s="1624" t="str">
        <f>IF(T51="","",T51)</f>
        <v/>
      </c>
      <c r="AO51" s="1624"/>
      <c r="AP51" s="1624"/>
      <c r="AQ51" s="1641">
        <v>1</v>
      </c>
    </row>
    <row s="1642" customFormat="1" customHeight="1" ht="1.05">
      <c r="A52" s="1375" t="s">
        <v>208</v>
      </c>
      <c r="B52" s="1375" t="s">
        <v>209</v>
      </c>
      <c r="C52" s="1375" t="s">
        <v>210</v>
      </c>
      <c r="D52" s="1374"/>
      <c r="E52" s="2290"/>
      <c r="F52" s="2290"/>
      <c r="G52" s="2289"/>
      <c r="H52" s="1374"/>
      <c r="I52" s="1374"/>
      <c r="J52" s="1374"/>
      <c r="K52" s="1374"/>
      <c r="L52" s="1377"/>
      <c r="M52" s="1378"/>
      <c r="N52" s="1378"/>
      <c r="O52" s="351"/>
      <c r="P52" s="1316"/>
      <c r="Q52" s="1317"/>
      <c r="R52" s="1316"/>
      <c r="S52" s="1322"/>
      <c r="T52" s="1325" t="s">
        <v>416</v>
      </c>
      <c r="U52" s="1324"/>
      <c r="V52" s="1324"/>
      <c r="W52" s="1324"/>
      <c r="X52" s="1324"/>
      <c r="Y52" s="1324"/>
      <c r="Z52" s="1324"/>
      <c r="AA52" s="1324"/>
      <c r="AB52" s="1324"/>
      <c r="AC52" s="1324"/>
      <c r="AD52" s="1324"/>
      <c r="AE52" s="1324"/>
      <c r="AF52" s="1324"/>
      <c r="AG52" s="1324"/>
      <c r="AH52" s="1324"/>
      <c r="AI52" s="1324"/>
      <c r="AJ52" s="1324"/>
      <c r="AK52" s="1324"/>
      <c r="AM52" s="1251"/>
      <c r="AN52" s="1251" t="str">
        <f>IF(T52="","",T52)</f>
        <v>Добавить источник для дифференциации</v>
      </c>
      <c r="AO52" s="1251"/>
      <c r="AP52" s="1251"/>
      <c r="AQ52" s="1642">
        <v>1</v>
      </c>
    </row>
    <row s="1642" customFormat="1" customHeight="1" ht="1.05">
      <c r="A53" s="1375" t="s">
        <v>208</v>
      </c>
      <c r="B53" s="1375" t="s">
        <v>209</v>
      </c>
      <c r="C53" s="1374"/>
      <c r="D53" s="1374"/>
      <c r="E53" s="2290"/>
      <c r="F53" s="2289"/>
      <c r="G53" s="1374"/>
      <c r="H53" s="1374"/>
      <c r="I53" s="1374"/>
      <c r="J53" s="1374"/>
      <c r="K53" s="1374"/>
      <c r="L53" s="1377"/>
      <c r="M53" s="1379"/>
      <c r="N53" s="1379"/>
      <c r="O53" s="351"/>
      <c r="P53" s="1316"/>
      <c r="Q53" s="1317"/>
      <c r="R53" s="1316"/>
      <c r="S53" s="1322"/>
      <c r="T53" s="1325" t="s">
        <v>417</v>
      </c>
      <c r="U53" s="1324"/>
      <c r="V53" s="1324"/>
      <c r="W53" s="1324"/>
      <c r="X53" s="1324"/>
      <c r="Y53" s="1324"/>
      <c r="Z53" s="1324"/>
      <c r="AA53" s="1324"/>
      <c r="AB53" s="1324"/>
      <c r="AC53" s="1324"/>
      <c r="AD53" s="1324"/>
      <c r="AE53" s="1324"/>
      <c r="AF53" s="1324"/>
      <c r="AG53" s="1324"/>
      <c r="AH53" s="1324"/>
      <c r="AI53" s="1324"/>
      <c r="AJ53" s="1324"/>
      <c r="AK53" s="1324"/>
      <c r="AM53" s="1251"/>
      <c r="AN53" s="1251" t="str">
        <f>IF(T53="","",T53)</f>
        <v>Добавить централизованную систему для дифференциации</v>
      </c>
      <c r="AO53" s="1251"/>
      <c r="AP53" s="1251"/>
      <c r="AQ53" s="1642">
        <v>1</v>
      </c>
    </row>
    <row s="1642" customFormat="1" customHeight="1" ht="1.05">
      <c r="A54" s="1375" t="s">
        <v>208</v>
      </c>
      <c r="B54" s="1375"/>
      <c r="C54" s="1375"/>
      <c r="D54" s="1375"/>
      <c r="E54" s="2290"/>
      <c r="F54" s="1375"/>
      <c r="G54" s="1375"/>
      <c r="H54" s="1375"/>
      <c r="I54" s="1375"/>
      <c r="J54" s="1375"/>
      <c r="K54" s="1375"/>
      <c r="L54" s="1381"/>
      <c r="M54" s="1379"/>
      <c r="N54" s="1379"/>
      <c r="O54" s="351"/>
      <c r="P54" s="380"/>
      <c r="Q54" s="1344"/>
      <c r="R54" s="380"/>
      <c r="S54" s="1322"/>
      <c r="T54" s="1325" t="s">
        <v>418</v>
      </c>
      <c r="U54" s="1324"/>
      <c r="V54" s="1324"/>
      <c r="W54" s="1324"/>
      <c r="X54" s="1324"/>
      <c r="Y54" s="1324"/>
      <c r="Z54" s="1324"/>
      <c r="AA54" s="1324"/>
      <c r="AB54" s="1324"/>
      <c r="AC54" s="1324"/>
      <c r="AD54" s="1324"/>
      <c r="AE54" s="1324"/>
      <c r="AF54" s="1324"/>
      <c r="AG54" s="1324"/>
      <c r="AH54" s="1324"/>
      <c r="AI54" s="1324"/>
      <c r="AJ54" s="1324"/>
      <c r="AK54" s="1324"/>
      <c r="AM54" s="1624"/>
      <c r="AN54" s="1624" t="str">
        <f>IF(T54="","",T54)</f>
        <v>Добавить территорию для дифференциации</v>
      </c>
      <c r="AO54" s="1624"/>
      <c r="AP54" s="1624"/>
      <c r="AQ54" s="1636">
        <v>1</v>
      </c>
    </row>
    <row s="1642" customFormat="1" customHeight="1" ht="1.05">
      <c r="A55" s="1375" t="s">
        <v>208</v>
      </c>
      <c r="B55" s="1375"/>
      <c r="C55" s="1375"/>
      <c r="D55" s="1375"/>
      <c r="E55" s="2289"/>
      <c r="F55" s="1375"/>
      <c r="G55" s="1375"/>
      <c r="H55" s="1375"/>
      <c r="I55" s="1375"/>
      <c r="J55" s="1375"/>
      <c r="K55" s="1375"/>
      <c r="L55" s="1381"/>
      <c r="M55" s="1379"/>
      <c r="N55" s="1379"/>
      <c r="O55" s="351"/>
      <c r="P55" s="380"/>
      <c r="Q55" s="1344"/>
      <c r="R55" s="380"/>
      <c r="S55" s="1322"/>
      <c r="T55" s="1325" t="s">
        <v>418</v>
      </c>
      <c r="U55" s="1324"/>
      <c r="V55" s="1324"/>
      <c r="W55" s="1324"/>
      <c r="X55" s="1324"/>
      <c r="Y55" s="1324"/>
      <c r="Z55" s="1324"/>
      <c r="AA55" s="1324"/>
      <c r="AB55" s="1324"/>
      <c r="AC55" s="1324"/>
      <c r="AD55" s="1324"/>
      <c r="AE55" s="1324"/>
      <c r="AF55" s="1324"/>
      <c r="AG55" s="1324"/>
      <c r="AH55" s="1324"/>
      <c r="AI55" s="1324"/>
      <c r="AJ55" s="1324"/>
      <c r="AK55" s="1324"/>
      <c r="AM55" s="1624"/>
      <c r="AN55" s="1624" t="str">
        <f>IF(T55="","",T55)</f>
        <v>Добавить территорию для дифференциации</v>
      </c>
      <c r="AO55" s="1624"/>
      <c r="AP55" s="1624"/>
      <c r="AQ55" s="1636">
        <v>1</v>
      </c>
    </row>
    <row s="1642" customFormat="1" customHeight="1" ht="1.05">
      <c r="A56" s="1374"/>
      <c r="B56" s="1374"/>
      <c r="C56" s="1374"/>
      <c r="D56" s="1374"/>
      <c r="E56" s="1375"/>
      <c r="F56" s="1374"/>
      <c r="G56" s="1374"/>
      <c r="H56" s="1374"/>
      <c r="I56" s="1374"/>
      <c r="J56" s="1374"/>
      <c r="K56" s="1374"/>
      <c r="L56" s="1377"/>
      <c r="M56" s="1379"/>
      <c r="N56" s="1379"/>
      <c r="O56" s="351"/>
      <c r="P56" s="1316"/>
      <c r="Q56" s="1317"/>
      <c r="R56" s="1316"/>
      <c r="S56" s="1322"/>
      <c r="T56" s="1325" t="s">
        <v>450</v>
      </c>
      <c r="U56" s="1324"/>
      <c r="V56" s="1324"/>
      <c r="W56" s="1324"/>
      <c r="X56" s="1324"/>
      <c r="Y56" s="1324"/>
      <c r="Z56" s="1324"/>
      <c r="AA56" s="1324"/>
      <c r="AB56" s="1324"/>
      <c r="AC56" s="1324"/>
      <c r="AD56" s="1324"/>
      <c r="AE56" s="1324"/>
      <c r="AF56" s="1324"/>
      <c r="AG56" s="1324"/>
      <c r="AH56" s="1324"/>
      <c r="AI56" s="1324"/>
      <c r="AJ56" s="1324"/>
      <c r="AK56" s="1324"/>
      <c r="AM56" s="1251"/>
      <c r="AN56" s="1251" t="str">
        <f>IF(T56="","",T56)</f>
        <v>Добавить наименование тарифа</v>
      </c>
      <c r="AO56" s="1251"/>
      <c r="AP56" s="1251"/>
      <c r="AQ56" s="1642">
        <v>1</v>
      </c>
    </row>
    <row customHeight="1" ht="11.549999999999999">
      <c r="M57" s="1631"/>
      <c r="N57" s="1631"/>
      <c r="O57" s="1635"/>
      <c r="P57" s="1366"/>
      <c r="Q57" s="1366"/>
      <c r="R57" s="1631"/>
      <c r="S57" s="1631"/>
      <c r="AL57" s="1631"/>
      <c r="AM57" s="1631"/>
      <c r="AN57" s="1631"/>
      <c r="AO57" s="1631"/>
      <c r="AP57" s="1631"/>
      <c r="AQ57" s="1631">
        <v>11</v>
      </c>
    </row>
    <row customHeight="1" ht="19.95">
      <c r="O58" s="1635"/>
      <c r="S58" s="1253"/>
      <c r="T58" s="2285"/>
      <c r="U58" s="2285"/>
      <c r="V58" s="2285"/>
      <c r="W58" s="2285"/>
      <c r="X58" s="2285"/>
      <c r="Y58" s="2285"/>
      <c r="Z58" s="2285"/>
      <c r="AA58" s="2285"/>
      <c r="AB58" s="2285"/>
      <c r="AC58" s="2285"/>
      <c r="AD58" s="2285"/>
      <c r="AE58" s="2285"/>
      <c r="AF58" s="2285"/>
      <c r="AG58" s="2285"/>
      <c r="AH58" s="2285"/>
      <c r="AI58" s="2285"/>
      <c r="AJ58" s="2285"/>
      <c r="AK58" s="2285"/>
      <c r="AQ58" s="1631">
        <v>19</v>
      </c>
    </row>
    <row customHeight="1" ht="21">
      <c r="O59" s="1635"/>
      <c r="T59" s="2285"/>
      <c r="U59" s="2285"/>
      <c r="V59" s="2285"/>
      <c r="W59" s="2285"/>
      <c r="X59" s="2285"/>
      <c r="Y59" s="2285"/>
      <c r="Z59" s="2285"/>
      <c r="AA59" s="2285"/>
      <c r="AB59" s="2285"/>
      <c r="AC59" s="2285"/>
      <c r="AD59" s="2285"/>
      <c r="AE59" s="2285"/>
      <c r="AF59" s="2285"/>
      <c r="AG59" s="2285"/>
      <c r="AH59" s="2285"/>
      <c r="AI59" s="2285"/>
      <c r="AJ59" s="2285"/>
      <c r="AK59" s="2285"/>
      <c r="AQ59" s="1631">
        <v>20</v>
      </c>
    </row>
    <row customHeight="1" ht="14.699999999999998">
      <c r="O60" s="1635"/>
      <c r="T60" s="1953"/>
      <c r="U60" s="1953"/>
      <c r="V60" s="1953"/>
      <c r="W60" s="1953"/>
      <c r="X60" s="1953"/>
      <c r="Y60" s="1953"/>
      <c r="Z60" s="1953"/>
      <c r="AA60" s="1953"/>
      <c r="AB60" s="1953"/>
      <c r="AC60" s="1953"/>
      <c r="AD60" s="1953"/>
      <c r="AE60" s="1953"/>
      <c r="AF60" s="1953"/>
      <c r="AG60" s="1953"/>
      <c r="AH60" s="1953"/>
      <c r="AI60" s="1953"/>
      <c r="AJ60" s="1953"/>
      <c r="AK60" s="1953"/>
      <c r="AQ60" s="1631">
        <v>14</v>
      </c>
    </row>
    <row customHeight="1" ht="19.95">
      <c r="O61" s="1635"/>
      <c r="T61" s="2285"/>
      <c r="U61" s="2285"/>
      <c r="V61" s="2285"/>
      <c r="W61" s="2285"/>
      <c r="X61" s="2285"/>
      <c r="Y61" s="2285"/>
      <c r="Z61" s="2285"/>
      <c r="AA61" s="2285"/>
      <c r="AB61" s="2285"/>
      <c r="AC61" s="2285"/>
      <c r="AD61" s="2285"/>
      <c r="AE61" s="2285"/>
      <c r="AF61" s="2285"/>
      <c r="AG61" s="2285"/>
      <c r="AH61" s="2285"/>
      <c r="AI61" s="2285"/>
      <c r="AJ61" s="2285"/>
      <c r="AK61" s="2285"/>
      <c r="AQ61" s="1631">
        <v>19</v>
      </c>
    </row>
    <row customHeight="1" ht="16.8">
      <c r="O62" s="1635"/>
      <c r="T62" s="2285"/>
      <c r="U62" s="2285"/>
      <c r="V62" s="2285"/>
      <c r="W62" s="2285"/>
      <c r="X62" s="2285"/>
      <c r="Y62" s="2285"/>
      <c r="Z62" s="2285"/>
      <c r="AA62" s="2285"/>
      <c r="AB62" s="2285"/>
      <c r="AC62" s="2285"/>
      <c r="AD62" s="2285"/>
      <c r="AE62" s="2285"/>
      <c r="AF62" s="2285"/>
      <c r="AG62" s="2285"/>
      <c r="AH62" s="2285"/>
      <c r="AI62" s="2285"/>
      <c r="AJ62" s="2285"/>
      <c r="AK62" s="2285"/>
      <c r="AQ62" s="1631">
        <v>16</v>
      </c>
    </row>
    <row customHeight="1" ht="14.699999999999998">
      <c r="O63" s="1635"/>
      <c r="AQ63" s="1631">
        <v>14</v>
      </c>
    </row>
    <row customHeight="1" ht="22.5" hidden="1">
      <c r="A64" s="1631" t="s">
        <v>82</v>
      </c>
      <c r="B64" s="1631">
        <v>0</v>
      </c>
      <c r="C64" s="1631">
        <v>0</v>
      </c>
      <c r="D64" s="1631">
        <v>0</v>
      </c>
      <c r="E64" s="1631">
        <v>0</v>
      </c>
      <c r="F64" s="1631">
        <v>0</v>
      </c>
      <c r="G64" s="1631">
        <v>0</v>
      </c>
      <c r="H64" s="1631">
        <v>0</v>
      </c>
      <c r="I64" s="1631">
        <v>0</v>
      </c>
      <c r="J64" s="1631">
        <v>0</v>
      </c>
      <c r="K64" s="1631">
        <v>0</v>
      </c>
      <c r="L64" s="1939">
        <v>0</v>
      </c>
      <c r="M64" s="1965">
        <v>0</v>
      </c>
      <c r="N64" s="1965">
        <v>0</v>
      </c>
      <c r="O64" s="1965">
        <v>0</v>
      </c>
      <c r="P64" s="1362">
        <v>3</v>
      </c>
      <c r="Q64" s="1371">
        <v>3</v>
      </c>
      <c r="R64" s="344">
        <v>3</v>
      </c>
      <c r="S64" s="581">
        <v>12</v>
      </c>
      <c r="T64" s="1631">
        <v>31</v>
      </c>
      <c r="U64" s="1631">
        <v>0</v>
      </c>
      <c r="V64" s="1631">
        <v>0</v>
      </c>
      <c r="W64" s="1631">
        <v>0</v>
      </c>
      <c r="X64" s="1631">
        <v>0</v>
      </c>
      <c r="Y64" s="1631">
        <v>0</v>
      </c>
      <c r="Z64" s="1631">
        <v>0</v>
      </c>
      <c r="AA64" s="1631">
        <v>0</v>
      </c>
      <c r="AB64" s="1631">
        <v>27</v>
      </c>
      <c r="AC64" s="1631">
        <v>24</v>
      </c>
      <c r="AD64" s="1631">
        <v>21</v>
      </c>
      <c r="AE64" s="1631">
        <v>21</v>
      </c>
      <c r="AF64" s="1631">
        <v>11</v>
      </c>
      <c r="AG64" s="1631">
        <v>3</v>
      </c>
      <c r="AH64" s="1631">
        <v>11</v>
      </c>
      <c r="AI64" s="1631">
        <v>8</v>
      </c>
      <c r="AJ64" s="1631">
        <v>4</v>
      </c>
      <c r="AK64" s="1631">
        <v>115</v>
      </c>
      <c r="AL64" s="1636">
        <v>10</v>
      </c>
      <c r="AM64" s="1636">
        <v>10</v>
      </c>
      <c r="AN64" s="1636">
        <v>10</v>
      </c>
      <c r="AO64" s="1636">
        <v>10</v>
      </c>
      <c r="AP64" s="1636">
        <v>10</v>
      </c>
      <c r="AQ64" s="1631">
        <v>23</v>
      </c>
    </row>
  </sheetData>
  <sheetProtection sort="0" autoFilter="0" insertRows="0" insertColumns="1" deleteRows="0" deleteColumns="0"/>
  <mergeCells count="89">
    <mergeCell ref="V38:W38"/>
    <mergeCell ref="V39:W39"/>
    <mergeCell ref="E2:E14"/>
    <mergeCell ref="V2:AA2"/>
    <mergeCell ref="AC2:AJ2"/>
    <mergeCell ref="F3:F13"/>
    <mergeCell ref="V3:AA3"/>
    <mergeCell ref="AC3:AJ3"/>
    <mergeCell ref="G4:G12"/>
    <mergeCell ref="V4:AA4"/>
    <mergeCell ref="AC4:AJ4"/>
    <mergeCell ref="H5:H11"/>
    <mergeCell ref="V5:AA5"/>
    <mergeCell ref="AC5:AJ5"/>
    <mergeCell ref="I6:I10"/>
    <mergeCell ref="P6:P10"/>
    <mergeCell ref="V6:AA6"/>
    <mergeCell ref="AC6:AJ6"/>
    <mergeCell ref="J7:J9"/>
    <mergeCell ref="Q7:Q9"/>
    <mergeCell ref="V7:AA7"/>
    <mergeCell ref="AC7:AJ7"/>
    <mergeCell ref="AK8:AK9"/>
    <mergeCell ref="S24:AH24"/>
    <mergeCell ref="S27:T27"/>
    <mergeCell ref="V27:Z27"/>
    <mergeCell ref="AC27:AH27"/>
    <mergeCell ref="S25:AH25"/>
    <mergeCell ref="S28:T28"/>
    <mergeCell ref="V28:Z28"/>
    <mergeCell ref="AC28:AH28"/>
    <mergeCell ref="S29:T29"/>
    <mergeCell ref="V29:Z29"/>
    <mergeCell ref="AC29:AH29"/>
    <mergeCell ref="S30:T30"/>
    <mergeCell ref="V30:Z30"/>
    <mergeCell ref="AC30:AH30"/>
    <mergeCell ref="S32:T32"/>
    <mergeCell ref="V32:Z32"/>
    <mergeCell ref="AC32:AH32"/>
    <mergeCell ref="S33:T33"/>
    <mergeCell ref="V33:Z33"/>
    <mergeCell ref="AC33:AH33"/>
    <mergeCell ref="V35:AA35"/>
    <mergeCell ref="AC35:AI35"/>
    <mergeCell ref="S36:AJ36"/>
    <mergeCell ref="AK36:AK40"/>
    <mergeCell ref="S37:S40"/>
    <mergeCell ref="T37:T40"/>
    <mergeCell ref="V37:Z37"/>
    <mergeCell ref="AA37:AA40"/>
    <mergeCell ref="AB37:AB40"/>
    <mergeCell ref="AC37:AC40"/>
    <mergeCell ref="AD37:AH37"/>
    <mergeCell ref="AI37:AI40"/>
    <mergeCell ref="AJ37:AJ40"/>
    <mergeCell ref="X38:Z39"/>
    <mergeCell ref="AD38:AE38"/>
    <mergeCell ref="AF38:AH39"/>
    <mergeCell ref="AD39:AE39"/>
    <mergeCell ref="Y40:Z40"/>
    <mergeCell ref="AG40:AH40"/>
    <mergeCell ref="Y41:Z41"/>
    <mergeCell ref="AG41:AH41"/>
    <mergeCell ref="E42:E55"/>
    <mergeCell ref="V42:AA42"/>
    <mergeCell ref="AC42:AJ42"/>
    <mergeCell ref="F43:F53"/>
    <mergeCell ref="V43:AA43"/>
    <mergeCell ref="AC43:AJ43"/>
    <mergeCell ref="G44:G52"/>
    <mergeCell ref="V44:AA44"/>
    <mergeCell ref="AC44:AJ44"/>
    <mergeCell ref="H45:H51"/>
    <mergeCell ref="V45:AA45"/>
    <mergeCell ref="AC45:AJ45"/>
    <mergeCell ref="I46:I50"/>
    <mergeCell ref="P46:P50"/>
    <mergeCell ref="V46:AA46"/>
    <mergeCell ref="AC46:AJ46"/>
    <mergeCell ref="J47:J49"/>
    <mergeCell ref="Q47:Q49"/>
    <mergeCell ref="T62:AK62"/>
    <mergeCell ref="V47:AA47"/>
    <mergeCell ref="AC47:AJ47"/>
    <mergeCell ref="AK48:AK49"/>
    <mergeCell ref="T58:AK58"/>
    <mergeCell ref="T59:AK59"/>
    <mergeCell ref="T61:AK61"/>
  </mergeCells>
  <dataValidations count="11">
    <dataValidation type="decimal" allowBlank="1" showErrorMessage="1" errorTitle="Ошибка" error="Допускается ввод только действительных чисел!" sqref="AC48 AC8">
      <formula1>-9.99999999999999E+23</formula1>
      <formula2>9.99999999999999E+23</formula2>
    </dataValidation>
    <dataValidation allowBlank="1" sqref="S131122:AK131128 S196658:AK196664 S262194:AK262200 S327730:AK327736 S393266:AK393272 S458802:AK458808 S524338:AK524344 S589874:AK589880 S655410:AK655416 S720946:AK720952 S786482:AK786488 S852018:AK852024 S917554:AK917560 S983090:AK983096 S65586:AK65592"/>
    <dataValidation type="list" allowBlank="1" showInputMessage="1" errorTitle="Ошибка" error="Выберите значение из списка" prompt="Выберите значение из списка" sqref="V917551:AJ917551 V983087:AJ983087 V65583:AJ65583 V131119:AJ131119 V196655:AJ196655 V262191:AJ262191 V327727:AJ327727 V393263:AJ393263 V458799:AJ458799 V524335:AJ524335 V589871:AJ589871 V655407:AJ655407 V720943:AJ720943 V786479:AJ786479 V852015:AJ852015">
      <formula1>kind_of_cons</formula1>
    </dataValidation>
    <dataValidation type="list" allowBlank="1" showInputMessage="1" showErrorMessage="1" errorTitle="Ошибка" error="Выберите значение из списка" sqref="AC983086 AC917550 AC852014 AC786478 AC720942 AC655406 AC589870 AC524334 AC458798 AC393262 AC327726 AC262190 AC196654 AC131118 AC65582">
      <formula1>kind_of_scheme_in</formula1>
    </dataValidation>
    <dataValidation allowBlank="1" showInputMessage="1" showErrorMessage="1" prompt="Для выбора выполните двойной щелчок левой клавиши мыши по соответствующей ячейке." sqref="Y65584 Y131120 Y196656 Y262192 Y327728 Y393264 Y458800 Y524336 Y589872 Y655408 Y720944 Y786480 Y852016 Y917552 Y983088 AA131120:AB131120 AA458800:AB458800 AA196656:AB196656 AA262192:AB262192 AA327728:AB327728 AA393264:AB393264 AA524336:AB524336 AA589872:AB589872 AA655408:AB655408 AA720944:AB720944 AA786480:AB786480 AA852016:AB852016 AA917552:AB917552 AA983088:AB983088 AA65584:AB65584 AG48 Y8 AG65584 AG131120 AG196656 AG262192 AG327728 AG393264 AG458800 AG524336 AG589872 AG655408 AG720944 AG786480 AG852016 AG917552 AG983088 AI131120 AI458800 AI196656 AI262192 AI327728 AI393264 AI524336 AI589872 AI655408 AI720944 AI786480 AI852016 AI917552 AI983088 AI65584 AG8 AA48 AG16 AI48 AI16 AC16 Y48 AI8 AA8"/>
    <dataValidation type="textLength" operator="lessThanOrEqual" allowBlank="1" showInputMessage="1" showErrorMessage="1" errorTitle="Ошибка" error="Допускается ввод не более 900 символов!" sqref="AK65578:AK65585 AK131114:AK131121 AK196650:AK196657 AK262186:AK262193 AK327722:AK327729 AK393258:AK393265 AK458794:AK458801 AK524330:AK524337 AK589866:AK589873 AK655402:AK655409 AK720938:AK720945 AK786474:AK786481 AK852010:AK852017 AK917546:AK917553 AK983082:AK983089 T8 T48 AB48 AB8">
      <formula1>900</formula1>
    </dataValidation>
    <dataValidation allowBlank="1" promptTitle="checkPeriodRange" sqref="W65585 W131121 W196657 W262193 W327729 W393265 W458801 W524337 W589873 W655409 W720945 W786481 W852017 W917553 W983089 AE65585 AE131121 AE196657 AE262193 AE327729 AE393265 AE458801 AE524337 AE589873 AE655409 AE720945 AE786481 AE852017 AE917553 AE983089"/>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X65584 X131120 X196656 X262192 X327728 X393264 X458800 X524336 X589872 X655408 X720944 X786480 X852016 X917552 X983088 Z65584 Z131120 Z196656 Z262192 Z327728 Z393264 Z458800 Z524336 Z589872 Z655408 Z720944 Z786480 Z852016 Z917552 Z983088 X8 Z8 AF65584 AF131120 AF196656 AF262192 AF327728 AF393264 AF458800 AF524336 AF589872 AF655408 AF720944 AF786480 AF852016 AF917552 AF983088 AH65584 AH131120 AH196656 AH262192 AH327728 AH393264 AH458800 AH524336 AH589872 AH655408 AH720944 AH786480 AH852016 AH917552 AH983088 AH8 AH48 AH16 AF16 AF8 AF48 Z48 X48"/>
    <dataValidation type="list" allowBlank="1" showInputMessage="1" showErrorMessage="1" errorTitle="Ошибка" error="Выберите значение из списка" sqref="T65584 T131120 T196656 T262192 T327728 T393264 T458800 T524336 T589872 T655408 T720944 T786480 T852016 T917552 T983088">
      <formula1>kind_of_heat_transfer</formula1>
    </dataValidation>
    <dataValidation type="list" allowBlank="1" showInputMessage="1" showErrorMessage="1" errorTitle="Ошибка" error="Выберите значение из списка" prompt="Выберите значение из списка" sqref="AD39:AE39">
      <formula1>UNIT_CONNECT_LIST</formula1>
    </dataValidation>
    <dataValidation allowBlank="1" errorTitle="Ошибка" error="Выберите значение из списка" sqref="V39:W39"/>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E5E1C9D-E29D-EE82-04AA-FA1FE61C6CB7}" mc:Ignorable="x14ac xr xr2 xr3">
  <sheetPr>
    <tabColor theme="6" tint="0.4"/>
  </sheetPr>
  <dimension ref="A1:BI69"/>
  <sheetViews>
    <sheetView showGridLines="0" zoomScale="90" workbookViewId="0">
      <pane xSplit="29" ySplit="45" topLeftCell="AD46" activePane="bottomRight" state="frozen"/>
      <selection pane="bottomLeft" activeCell="A46" sqref="A46"/>
      <selection pane="topRight" activeCell="AD1" sqref="AD1"/>
      <selection pane="bottomRight" activeCell="A1" sqref="A1"/>
    </sheetView>
  </sheetViews>
  <sheetFormatPr defaultColWidth="10.57421875" customHeight="1" defaultRowHeight="14.25"/>
  <cols>
    <col min="1" max="1" style="1366" width="11.57421875" hidden="1" customWidth="1"/>
    <col min="2" max="2" style="1366" width="11.00390625" hidden="1" customWidth="1"/>
    <col min="3" max="3" style="1366" width="10.57421875" hidden="1"/>
    <col min="4" max="4" style="1366" width="12.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2.00390625" hidden="1" customWidth="1"/>
    <col min="10" max="10" style="1366" width="9.8515625" hidden="1" customWidth="1"/>
    <col min="11" max="11" style="1366" width="11.421875" hidden="1" customWidth="1"/>
    <col min="12" max="12" style="2607" width="19.140625" hidden="1" customWidth="1"/>
    <col min="13" max="14" style="1776" width="12.28125" hidden="1" customWidth="1"/>
    <col min="15" max="15" style="1776" width="23.421875" hidden="1" customWidth="1"/>
    <col min="16" max="16" style="1776" width="3.7109375" hidden="1" customWidth="1"/>
    <col min="17" max="17" style="1371" width="3.7109375" hidden="1" customWidth="1"/>
    <col min="18" max="18" style="344" width="3.00390625" customWidth="1"/>
    <col min="19" max="19" style="2407" width="12.00390625" customWidth="1"/>
    <col min="20" max="20" style="1635" width="31.00390625" customWidth="1"/>
    <col min="21" max="21" style="1635" width="0.140625" customWidth="1"/>
    <col min="22" max="25" style="1635" width="21.7109375" hidden="1" customWidth="1"/>
    <col min="26" max="26" style="1635" width="11.7109375" hidden="1" customWidth="1"/>
    <col min="27" max="27" style="1635" width="3.7109375" hidden="1" customWidth="1"/>
    <col min="28" max="28" style="1635" width="11.7109375" hidden="1" customWidth="1"/>
    <col min="29" max="29" style="1635" width="8.57421875" hidden="1" customWidth="1"/>
    <col min="30" max="30" style="1635" width="3.7109375" customWidth="1"/>
    <col min="31" max="32" style="1635" width="3.00390625" customWidth="1"/>
    <col min="33" max="33" style="1635" width="24.00390625" customWidth="1"/>
    <col min="34" max="34" style="1635" width="3.7109375" customWidth="1"/>
    <col min="35" max="36" style="1635" width="3.00390625" customWidth="1"/>
    <col min="37" max="37" style="1635" width="24.00390625" customWidth="1"/>
    <col min="38" max="38" style="1635" width="3.7109375" customWidth="1"/>
    <col min="39" max="40" style="1635" width="3.00390625" customWidth="1"/>
    <col min="41" max="41" style="1635" width="18.00390625" customWidth="1"/>
    <col min="42" max="42" style="1635" width="3.7109375" customWidth="1"/>
    <col min="43" max="44" style="1635" width="3.00390625" customWidth="1"/>
    <col min="45" max="45" style="1635" width="18.00390625" customWidth="1"/>
    <col min="46" max="49" style="1635" width="21.00390625" customWidth="1"/>
    <col min="50" max="50" style="1635" width="11.00390625" customWidth="1"/>
    <col min="51" max="51" style="1635" width="3.7109375" customWidth="1"/>
    <col min="52" max="52" style="1635" width="11.00390625" customWidth="1"/>
    <col min="53" max="53" style="1635" width="8.57421875" hidden="1" customWidth="1"/>
    <col min="54" max="54" style="1635" width="4.00390625" customWidth="1"/>
    <col min="55" max="55" style="1635" width="115.00390625" customWidth="1"/>
    <col min="56" max="60" style="1642" width="10.00390625" customWidth="1"/>
    <col min="61" max="61" style="1635" width="10.57421875" hidden="1"/>
  </cols>
  <sheetData>
    <row customHeight="1" ht="22.5" hidden="1">
      <c r="W1" s="327"/>
      <c r="Y1" s="327"/>
      <c r="Z1" s="327"/>
      <c r="AW1" s="327"/>
      <c r="AX1" s="327"/>
      <c r="BI1" s="1155" t="s">
        <v>14</v>
      </c>
    </row>
    <row customHeight="1" ht="21" hidden="1">
      <c r="A2" s="1363"/>
      <c r="B2" s="1363"/>
      <c r="C2" s="1363"/>
      <c r="D2" s="1363"/>
      <c r="E2" s="2258">
        <v>1</v>
      </c>
      <c r="F2" s="1363"/>
      <c r="G2" s="1363"/>
      <c r="H2" s="1363"/>
      <c r="I2" s="1363"/>
      <c r="J2" s="1363"/>
      <c r="K2" s="1363"/>
      <c r="L2" s="1364"/>
      <c r="M2" s="1365"/>
      <c r="N2" s="1365"/>
      <c r="O2" s="1365"/>
      <c r="P2" s="1409"/>
      <c r="Q2" s="873"/>
      <c r="R2" s="355"/>
      <c r="S2" s="1465">
        <f>INDEX(PT_DIFFERENTIATION_NUM_NTAR,MATCH(A2,PT_DIFFERENTIATION_NTAR_ID,0))</f>
      </c>
      <c r="T2" s="298" t="s">
        <v>127</v>
      </c>
      <c r="U2" s="300"/>
      <c r="V2" s="2243"/>
      <c r="W2" s="2243"/>
      <c r="X2" s="2243"/>
      <c r="Y2" s="2243"/>
      <c r="Z2" s="2243"/>
      <c r="AA2" s="2243"/>
      <c r="AB2" s="2243"/>
      <c r="AC2" s="2244"/>
      <c r="AD2" s="2242">
        <f>INDEX(PT_DIFFERENTIATION_NTAR,MATCH(A2,PT_DIFFERENTIATION_NTAR_ID,0))</f>
      </c>
      <c r="AE2" s="2243"/>
      <c r="AF2" s="2243"/>
      <c r="AG2" s="2243"/>
      <c r="AH2" s="2243"/>
      <c r="AI2" s="2243"/>
      <c r="AJ2" s="2243"/>
      <c r="AK2" s="2243"/>
      <c r="AL2" s="2243"/>
      <c r="AM2" s="2243"/>
      <c r="AN2" s="2243"/>
      <c r="AO2" s="2243"/>
      <c r="AP2" s="2243"/>
      <c r="AQ2" s="2243"/>
      <c r="AR2" s="2243"/>
      <c r="AS2" s="2243"/>
      <c r="AT2" s="2243"/>
      <c r="AU2" s="2243"/>
      <c r="AV2" s="2243"/>
      <c r="AW2" s="2243"/>
      <c r="AX2" s="2243"/>
      <c r="AY2" s="2243"/>
      <c r="AZ2" s="2243"/>
      <c r="BA2" s="2243"/>
      <c r="BB2" s="2244"/>
      <c r="BC2"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2" s="500"/>
      <c r="BF2" s="500" t="str">
        <f>IF(T2="","",T2)</f>
        <v>Наименование тарифа</v>
      </c>
      <c r="BG2" s="500"/>
      <c r="BH2" s="500"/>
      <c r="BI2" s="1155">
        <v>0</v>
      </c>
    </row>
    <row customHeight="1" ht="21" hidden="1">
      <c r="A3" s="1363"/>
      <c r="B3" s="1363"/>
      <c r="C3" s="1363"/>
      <c r="D3" s="1363"/>
      <c r="E3" s="2259"/>
      <c r="F3" s="2258">
        <v>1</v>
      </c>
      <c r="G3" s="1363"/>
      <c r="H3" s="1363"/>
      <c r="I3" s="1363"/>
      <c r="J3" s="1363"/>
      <c r="K3" s="1363"/>
      <c r="L3" s="1364"/>
      <c r="M3" s="1365"/>
      <c r="N3" s="1365"/>
      <c r="O3" s="1365"/>
      <c r="P3" s="1410"/>
      <c r="Q3" s="1411"/>
      <c r="R3" s="353"/>
      <c r="S3" s="1465">
        <f>INDEX(PT_DIFFERENTIATION_NUM_TER,MATCH(B3,PT_DIFFERENTIATION_TER_ID,0))</f>
      </c>
      <c r="T3" s="308" t="s">
        <v>399</v>
      </c>
      <c r="U3" s="300"/>
      <c r="V3" s="2243"/>
      <c r="W3" s="2243"/>
      <c r="X3" s="2243"/>
      <c r="Y3" s="2243"/>
      <c r="Z3" s="2243"/>
      <c r="AA3" s="2243"/>
      <c r="AB3" s="2243"/>
      <c r="AC3" s="2244"/>
      <c r="AD3" s="2242">
        <f>INDEX(PT_DIFFERENTIATION_TER,MATCH(B3,PT_DIFFERENTIATION_TER_ID,0))</f>
      </c>
      <c r="AE3" s="2243"/>
      <c r="AF3" s="2243"/>
      <c r="AG3" s="2243"/>
      <c r="AH3" s="2243"/>
      <c r="AI3" s="2243"/>
      <c r="AJ3" s="2243"/>
      <c r="AK3" s="2243"/>
      <c r="AL3" s="2243"/>
      <c r="AM3" s="2243"/>
      <c r="AN3" s="2243"/>
      <c r="AO3" s="2243"/>
      <c r="AP3" s="2243"/>
      <c r="AQ3" s="2243"/>
      <c r="AR3" s="2243"/>
      <c r="AS3" s="2243"/>
      <c r="AT3" s="2243"/>
      <c r="AU3" s="2243"/>
      <c r="AV3" s="2243"/>
      <c r="AW3" s="2243"/>
      <c r="AX3" s="2243"/>
      <c r="AY3" s="2243"/>
      <c r="AZ3" s="2243"/>
      <c r="BA3" s="2243"/>
      <c r="BB3" s="2244"/>
      <c r="BC3" s="1258" t="s">
        <v>400</v>
      </c>
      <c r="BE3" s="500"/>
      <c r="BF3" s="500" t="str">
        <f>IF(T3="","",T3)</f>
        <v>Территория действия тарифа</v>
      </c>
      <c r="BG3" s="500"/>
      <c r="BH3" s="500"/>
      <c r="BI3" s="1155">
        <v>0</v>
      </c>
    </row>
    <row customHeight="1" ht="42" hidden="1">
      <c r="A4" s="1363"/>
      <c r="B4" s="1363"/>
      <c r="C4" s="1363"/>
      <c r="D4" s="1363"/>
      <c r="E4" s="2259"/>
      <c r="F4" s="2259"/>
      <c r="G4" s="2258">
        <v>1</v>
      </c>
      <c r="H4" s="1363"/>
      <c r="I4" s="1363"/>
      <c r="J4" s="1363"/>
      <c r="K4" s="1363"/>
      <c r="L4" s="1364"/>
      <c r="M4" s="1365"/>
      <c r="N4" s="1365"/>
      <c r="O4" s="1365"/>
      <c r="P4" s="1412"/>
      <c r="Q4" s="1411"/>
      <c r="R4" s="353"/>
      <c r="S4" s="1465">
        <f>INDEX(PT_DIFFERENTIATION_NUM_CS,MATCH(C4,PT_DIFFERENTIATION_CS_ID,0))</f>
      </c>
      <c r="T4" s="309" t="s">
        <v>483</v>
      </c>
      <c r="U4" s="300"/>
      <c r="V4" s="2243"/>
      <c r="W4" s="2243"/>
      <c r="X4" s="2243"/>
      <c r="Y4" s="2243"/>
      <c r="Z4" s="2243"/>
      <c r="AA4" s="2243"/>
      <c r="AB4" s="2243"/>
      <c r="AC4" s="2244"/>
      <c r="AD4" s="2242">
        <f>INDEX(PT_DIFFERENTIATION_CS,MATCH(C4,PT_DIFFERENTIATION_CS_ID,0))</f>
      </c>
      <c r="AE4" s="2243"/>
      <c r="AF4" s="2243"/>
      <c r="AG4" s="2243"/>
      <c r="AH4" s="2243"/>
      <c r="AI4" s="2243"/>
      <c r="AJ4" s="2243"/>
      <c r="AK4" s="2243"/>
      <c r="AL4" s="2243"/>
      <c r="AM4" s="2243"/>
      <c r="AN4" s="2243"/>
      <c r="AO4" s="2243"/>
      <c r="AP4" s="2243"/>
      <c r="AQ4" s="2243"/>
      <c r="AR4" s="2243"/>
      <c r="AS4" s="2243"/>
      <c r="AT4" s="2243"/>
      <c r="AU4" s="2243"/>
      <c r="AV4" s="2243"/>
      <c r="AW4" s="2243"/>
      <c r="AX4" s="2243"/>
      <c r="AY4" s="2243"/>
      <c r="AZ4" s="2243"/>
      <c r="BA4" s="2243"/>
      <c r="BB4" s="2244"/>
      <c r="BC4" s="1258" t="s">
        <v>484</v>
      </c>
      <c r="BE4" s="500"/>
      <c r="BF4" s="500" t="str">
        <f>IF(T4="","",T4)</f>
        <v>Наименование централизованной системы холодного водоснабжения</v>
      </c>
      <c r="BG4" s="500"/>
      <c r="BH4" s="500"/>
      <c r="BI4" s="1155">
        <v>0</v>
      </c>
    </row>
    <row s="1642" customFormat="1" customHeight="1" ht="14.25" hidden="1">
      <c r="A5" s="1343"/>
      <c r="B5" s="1343"/>
      <c r="C5" s="1343"/>
      <c r="D5" s="1343"/>
      <c r="E5" s="2259"/>
      <c r="F5" s="2259"/>
      <c r="G5" s="2259"/>
      <c r="H5" s="2258">
        <v>1</v>
      </c>
      <c r="I5" s="1343"/>
      <c r="J5" s="1343"/>
      <c r="K5" s="1343"/>
      <c r="L5" s="1346"/>
      <c r="M5" s="1315"/>
      <c r="N5" s="1315"/>
      <c r="O5" s="1315"/>
      <c r="P5" s="1497"/>
      <c r="Q5" s="1498"/>
      <c r="R5" s="357"/>
      <c r="S5" s="1042"/>
      <c r="T5" s="1499"/>
      <c r="U5" s="1384"/>
      <c r="V5" s="2297"/>
      <c r="W5" s="2297"/>
      <c r="X5" s="2297"/>
      <c r="Y5" s="2297"/>
      <c r="Z5" s="2297"/>
      <c r="AA5" s="2297"/>
      <c r="AB5" s="2297"/>
      <c r="AC5" s="2298"/>
      <c r="AD5" s="2296"/>
      <c r="AE5" s="2297"/>
      <c r="AF5" s="2297"/>
      <c r="AG5" s="2297"/>
      <c r="AH5" s="2297"/>
      <c r="AI5" s="2297"/>
      <c r="AJ5" s="2297"/>
      <c r="AK5" s="2297"/>
      <c r="AL5" s="2297"/>
      <c r="AM5" s="2297"/>
      <c r="AN5" s="2297"/>
      <c r="AO5" s="2297"/>
      <c r="AP5" s="2297"/>
      <c r="AQ5" s="2297"/>
      <c r="AR5" s="2297"/>
      <c r="AS5" s="2297"/>
      <c r="AT5" s="2297"/>
      <c r="AU5" s="2297"/>
      <c r="AV5" s="2297"/>
      <c r="AW5" s="2297"/>
      <c r="AX5" s="2297"/>
      <c r="AY5" s="2297"/>
      <c r="AZ5" s="2297"/>
      <c r="BA5" s="2297"/>
      <c r="BB5" s="2298"/>
      <c r="BC5" s="1385" t="s">
        <v>404</v>
      </c>
      <c r="BE5" s="500"/>
      <c r="BF5" s="500" t="str">
        <f>IF(T5="","",T5)</f>
        <v/>
      </c>
      <c r="BG5" s="500"/>
      <c r="BH5" s="500"/>
      <c r="BI5" s="511">
        <v>0</v>
      </c>
    </row>
    <row s="1642" customFormat="1" customHeight="1" ht="14.25" hidden="1">
      <c r="A6" s="1343"/>
      <c r="B6" s="1343"/>
      <c r="C6" s="1343"/>
      <c r="D6" s="1343"/>
      <c r="E6" s="2259"/>
      <c r="F6" s="2259"/>
      <c r="G6" s="2259"/>
      <c r="H6" s="2259"/>
      <c r="I6" s="2256" t="str">
        <f>S5&amp;".1"</f>
        <v>.1</v>
      </c>
      <c r="J6" s="1343"/>
      <c r="K6" s="1343"/>
      <c r="L6" s="1346" t="s">
        <v>405</v>
      </c>
      <c r="M6" s="510"/>
      <c r="N6" s="510"/>
      <c r="O6" s="510"/>
      <c r="P6" s="2257">
        <v>1</v>
      </c>
      <c r="Q6" s="1462"/>
      <c r="R6" s="356"/>
      <c r="S6" s="1042"/>
      <c r="T6" s="1383"/>
      <c r="U6" s="1384"/>
      <c r="V6" s="2297"/>
      <c r="W6" s="2297"/>
      <c r="X6" s="2297"/>
      <c r="Y6" s="2297"/>
      <c r="Z6" s="2297"/>
      <c r="AA6" s="2297"/>
      <c r="AB6" s="2297"/>
      <c r="AC6" s="2298"/>
      <c r="AD6" s="2296"/>
      <c r="AE6" s="2297"/>
      <c r="AF6" s="2297"/>
      <c r="AG6" s="2297"/>
      <c r="AH6" s="2297"/>
      <c r="AI6" s="2297"/>
      <c r="AJ6" s="2297"/>
      <c r="AK6" s="2297"/>
      <c r="AL6" s="2297"/>
      <c r="AM6" s="2297"/>
      <c r="AN6" s="2297"/>
      <c r="AO6" s="2297"/>
      <c r="AP6" s="2297"/>
      <c r="AQ6" s="2297"/>
      <c r="AR6" s="2297"/>
      <c r="AS6" s="2297"/>
      <c r="AT6" s="2297"/>
      <c r="AU6" s="2297"/>
      <c r="AV6" s="2297"/>
      <c r="AW6" s="2297"/>
      <c r="AX6" s="2297"/>
      <c r="AY6" s="2297"/>
      <c r="AZ6" s="2297"/>
      <c r="BA6" s="2297"/>
      <c r="BB6" s="2298"/>
      <c r="BC6" s="1385"/>
      <c r="BE6" s="500"/>
      <c r="BF6" s="500" t="str">
        <f>IF(T6="","",T6)</f>
        <v/>
      </c>
      <c r="BG6" s="500"/>
      <c r="BH6" s="500"/>
      <c r="BI6" s="511">
        <v>0</v>
      </c>
    </row>
    <row s="1642" customFormat="1" customHeight="1" ht="14.25" hidden="1">
      <c r="A7" s="1343"/>
      <c r="B7" s="1343"/>
      <c r="C7" s="1343"/>
      <c r="D7" s="1343"/>
      <c r="E7" s="2259"/>
      <c r="F7" s="2259"/>
      <c r="G7" s="2259"/>
      <c r="H7" s="2259"/>
      <c r="I7" s="2286"/>
      <c r="J7" s="2256" t="str">
        <f>S5&amp;".1"</f>
        <v>.1</v>
      </c>
      <c r="K7" s="1343"/>
      <c r="L7" s="1346"/>
      <c r="M7" s="510"/>
      <c r="N7" s="510"/>
      <c r="O7" s="510"/>
      <c r="P7" s="2257"/>
      <c r="Q7" s="2257">
        <v>1</v>
      </c>
      <c r="R7" s="357"/>
      <c r="S7" s="1042"/>
      <c r="T7" s="1399"/>
      <c r="U7" s="1384"/>
      <c r="V7" s="2297"/>
      <c r="W7" s="2297"/>
      <c r="X7" s="2297"/>
      <c r="Y7" s="2297"/>
      <c r="Z7" s="2297"/>
      <c r="AA7" s="2297"/>
      <c r="AB7" s="2297"/>
      <c r="AC7" s="2298"/>
      <c r="AD7" s="2296"/>
      <c r="AE7" s="2297"/>
      <c r="AF7" s="2297"/>
      <c r="AG7" s="2297"/>
      <c r="AH7" s="2297"/>
      <c r="AI7" s="2297"/>
      <c r="AJ7" s="2297"/>
      <c r="AK7" s="2297"/>
      <c r="AL7" s="2297"/>
      <c r="AM7" s="2297"/>
      <c r="AN7" s="2297"/>
      <c r="AO7" s="2297"/>
      <c r="AP7" s="2297"/>
      <c r="AQ7" s="2297"/>
      <c r="AR7" s="2297"/>
      <c r="AS7" s="2297"/>
      <c r="AT7" s="2297"/>
      <c r="AU7" s="2297"/>
      <c r="AV7" s="2297"/>
      <c r="AW7" s="2297"/>
      <c r="AX7" s="2297"/>
      <c r="AY7" s="2297"/>
      <c r="AZ7" s="2297"/>
      <c r="BA7" s="2297"/>
      <c r="BB7" s="2298"/>
      <c r="BC7" s="1385"/>
      <c r="BE7" s="500"/>
      <c r="BF7" s="500" t="str">
        <f>IF(T7="","",T7)</f>
        <v/>
      </c>
      <c r="BG7" s="500"/>
      <c r="BH7" s="500"/>
      <c r="BI7" s="511">
        <v>0</v>
      </c>
    </row>
    <row customHeight="1" ht="11.25" hidden="1">
      <c r="A8" s="1363"/>
      <c r="B8" s="1363"/>
      <c r="C8" s="1363"/>
      <c r="D8" s="1363"/>
      <c r="E8" s="2259"/>
      <c r="F8" s="2259"/>
      <c r="G8" s="2259"/>
      <c r="H8" s="2259"/>
      <c r="I8" s="2286"/>
      <c r="J8" s="2286"/>
      <c r="K8" s="2256">
        <f>S4&amp;".1"</f>
      </c>
      <c r="L8" s="1364"/>
      <c r="P8" s="2257"/>
      <c r="Q8" s="2257"/>
      <c r="R8" s="2347">
        <v>1</v>
      </c>
      <c r="S8" s="2341">
        <f>$K8</f>
      </c>
      <c r="T8" s="2360"/>
      <c r="U8" s="300"/>
      <c r="V8" s="751"/>
      <c r="W8" s="1257"/>
      <c r="X8" s="751"/>
      <c r="Y8" s="1257"/>
      <c r="Z8" s="1734"/>
      <c r="AA8" s="1459" t="s">
        <v>66</v>
      </c>
      <c r="AB8" s="1734"/>
      <c r="AC8" s="1459" t="s">
        <v>66</v>
      </c>
      <c r="AD8" s="2185" t="s">
        <v>66</v>
      </c>
      <c r="AE8" s="2326"/>
      <c r="AF8" s="2205">
        <v>1</v>
      </c>
      <c r="AG8" s="2363"/>
      <c r="AH8" s="2107" t="s">
        <v>66</v>
      </c>
      <c r="AI8" s="2326"/>
      <c r="AJ8" s="2205">
        <v>1</v>
      </c>
      <c r="AK8" s="2327" t="s">
        <v>22</v>
      </c>
      <c r="AL8" s="2107" t="s">
        <v>66</v>
      </c>
      <c r="AM8" s="2192"/>
      <c r="AN8" s="2205">
        <v>1</v>
      </c>
      <c r="AO8" s="2357"/>
      <c r="AP8" s="2358" t="s">
        <v>66</v>
      </c>
      <c r="AQ8" s="311"/>
      <c r="AR8" s="1463">
        <v>1</v>
      </c>
      <c r="AS8" s="1466" t="s">
        <v>22</v>
      </c>
      <c r="AT8" s="751"/>
      <c r="AU8" s="1257"/>
      <c r="AV8" s="751"/>
      <c r="AW8" s="1257"/>
      <c r="AX8" s="1734"/>
      <c r="AY8" s="1459" t="s">
        <v>66</v>
      </c>
      <c r="AZ8" s="1734"/>
      <c r="BA8" s="1459" t="s">
        <v>66</v>
      </c>
      <c r="BB8" s="1348"/>
      <c r="BC8" s="2253" t="s">
        <v>503</v>
      </c>
      <c r="BE8" s="500"/>
      <c r="BF8" s="500" t="str">
        <f>IF(T8="","",T8)</f>
        <v/>
      </c>
      <c r="BG8" s="500"/>
      <c r="BH8" s="500"/>
      <c r="BI8" s="1155">
        <v>0</v>
      </c>
    </row>
    <row customHeight="1" ht="11.25" hidden="1">
      <c r="A9" s="1363"/>
      <c r="B9" s="1363"/>
      <c r="C9" s="1363"/>
      <c r="D9" s="1363"/>
      <c r="E9" s="2259"/>
      <c r="F9" s="2259"/>
      <c r="G9" s="2259"/>
      <c r="H9" s="2259"/>
      <c r="I9" s="2286"/>
      <c r="J9" s="2286"/>
      <c r="K9" s="2256"/>
      <c r="L9" s="1364"/>
      <c r="P9" s="2257"/>
      <c r="Q9" s="2257"/>
      <c r="R9" s="2347"/>
      <c r="S9" s="2342"/>
      <c r="T9" s="2361"/>
      <c r="U9" s="300"/>
      <c r="V9" s="1393"/>
      <c r="W9" s="1496"/>
      <c r="X9" s="1393"/>
      <c r="Y9" s="1496"/>
      <c r="Z9" s="1393"/>
      <c r="AA9" s="1393"/>
      <c r="AB9" s="1393"/>
      <c r="AC9" s="1393"/>
      <c r="AD9" s="2186"/>
      <c r="AE9" s="2326"/>
      <c r="AF9" s="2205"/>
      <c r="AG9" s="2363"/>
      <c r="AH9" s="2107"/>
      <c r="AI9" s="2326"/>
      <c r="AJ9" s="2205"/>
      <c r="AK9" s="2327"/>
      <c r="AL9" s="2107"/>
      <c r="AM9" s="2200"/>
      <c r="AN9" s="2205"/>
      <c r="AO9" s="2357"/>
      <c r="AP9" s="2359"/>
      <c r="AQ9" s="316"/>
      <c r="AR9" s="416"/>
      <c r="AS9" s="416" t="s">
        <v>504</v>
      </c>
      <c r="AT9" s="1393"/>
      <c r="AU9" s="1496"/>
      <c r="AV9" s="1393"/>
      <c r="AW9" s="1496"/>
      <c r="AX9" s="1393"/>
      <c r="AY9" s="1393"/>
      <c r="AZ9" s="1393"/>
      <c r="BA9" s="1393"/>
      <c r="BB9" s="1397"/>
      <c r="BC9" s="2254"/>
      <c r="BE9" s="500"/>
      <c r="BF9" s="500"/>
      <c r="BG9" s="500"/>
      <c r="BH9" s="500"/>
      <c r="BI9" s="1155">
        <v>0</v>
      </c>
    </row>
    <row customHeight="1" ht="11.25" hidden="1">
      <c r="A10" s="1363"/>
      <c r="B10" s="1363"/>
      <c r="C10" s="1363"/>
      <c r="D10" s="1363"/>
      <c r="E10" s="2259"/>
      <c r="F10" s="2259"/>
      <c r="G10" s="2259"/>
      <c r="H10" s="2259"/>
      <c r="I10" s="2286"/>
      <c r="J10" s="2286"/>
      <c r="K10" s="2256"/>
      <c r="L10" s="1364"/>
      <c r="P10" s="2257"/>
      <c r="Q10" s="2257"/>
      <c r="R10" s="2347"/>
      <c r="S10" s="2342"/>
      <c r="T10" s="2361"/>
      <c r="U10" s="300"/>
      <c r="V10" s="1393"/>
      <c r="W10" s="1496"/>
      <c r="X10" s="1393"/>
      <c r="Y10" s="1496"/>
      <c r="Z10" s="1393"/>
      <c r="AA10" s="1393"/>
      <c r="AB10" s="1393"/>
      <c r="AC10" s="1393"/>
      <c r="AD10" s="2186"/>
      <c r="AE10" s="2326"/>
      <c r="AF10" s="2205"/>
      <c r="AG10" s="2363"/>
      <c r="AH10" s="2107"/>
      <c r="AI10" s="2326"/>
      <c r="AJ10" s="2205"/>
      <c r="AK10" s="2327"/>
      <c r="AL10" s="2107"/>
      <c r="AM10" s="316"/>
      <c r="AN10" s="1500"/>
      <c r="AO10" s="1500" t="s">
        <v>505</v>
      </c>
      <c r="AP10" s="416"/>
      <c r="AQ10" s="416"/>
      <c r="AR10" s="416"/>
      <c r="AS10" s="1393"/>
      <c r="AT10" s="1393"/>
      <c r="AU10" s="1496"/>
      <c r="AV10" s="1393"/>
      <c r="AW10" s="1496"/>
      <c r="AX10" s="1393"/>
      <c r="AY10" s="1393"/>
      <c r="AZ10" s="1393"/>
      <c r="BA10" s="1393"/>
      <c r="BB10" s="1397"/>
      <c r="BC10" s="2254"/>
      <c r="BE10" s="500"/>
      <c r="BF10" s="500"/>
      <c r="BG10" s="500"/>
      <c r="BH10" s="500"/>
      <c r="BI10" s="1155">
        <v>0</v>
      </c>
    </row>
    <row customHeight="1" ht="11.25" hidden="1">
      <c r="A11" s="1363"/>
      <c r="B11" s="1363"/>
      <c r="C11" s="1363"/>
      <c r="D11" s="1363"/>
      <c r="E11" s="2259"/>
      <c r="F11" s="2259"/>
      <c r="G11" s="2259"/>
      <c r="H11" s="2259"/>
      <c r="I11" s="2286"/>
      <c r="J11" s="2286"/>
      <c r="K11" s="2256"/>
      <c r="L11" s="1364"/>
      <c r="P11" s="2257"/>
      <c r="Q11" s="2257"/>
      <c r="R11" s="2347"/>
      <c r="S11" s="2342"/>
      <c r="T11" s="2361"/>
      <c r="U11" s="300"/>
      <c r="V11" s="1393"/>
      <c r="W11" s="1496"/>
      <c r="X11" s="1393"/>
      <c r="Y11" s="1496"/>
      <c r="Z11" s="1393"/>
      <c r="AA11" s="1393"/>
      <c r="AB11" s="1393"/>
      <c r="AC11" s="1393"/>
      <c r="AD11" s="2186"/>
      <c r="AE11" s="2326"/>
      <c r="AF11" s="2205"/>
      <c r="AG11" s="2363"/>
      <c r="AH11" s="2107"/>
      <c r="AI11" s="294"/>
      <c r="AJ11" s="415"/>
      <c r="AK11" s="313" t="s">
        <v>506</v>
      </c>
      <c r="AL11" s="1393"/>
      <c r="AM11" s="1393"/>
      <c r="AN11" s="1393"/>
      <c r="AO11" s="1393"/>
      <c r="AP11" s="1393"/>
      <c r="AQ11" s="1393"/>
      <c r="AR11" s="1393"/>
      <c r="AS11" s="1393"/>
      <c r="AT11" s="1393"/>
      <c r="AU11" s="1496"/>
      <c r="AV11" s="1393"/>
      <c r="AW11" s="1496"/>
      <c r="AX11" s="1393"/>
      <c r="AY11" s="1393"/>
      <c r="AZ11" s="1393"/>
      <c r="BA11" s="1393"/>
      <c r="BB11" s="1397"/>
      <c r="BC11" s="2254"/>
      <c r="BE11" s="500"/>
      <c r="BF11" s="500"/>
      <c r="BG11" s="500"/>
      <c r="BH11" s="500"/>
      <c r="BI11" s="1155">
        <v>0</v>
      </c>
    </row>
    <row customHeight="1" ht="11.25" hidden="1">
      <c r="A12" s="1363"/>
      <c r="B12" s="1363"/>
      <c r="C12" s="1363"/>
      <c r="D12" s="1363"/>
      <c r="E12" s="2259"/>
      <c r="F12" s="2259"/>
      <c r="G12" s="2259"/>
      <c r="H12" s="2259"/>
      <c r="I12" s="2286"/>
      <c r="J12" s="2286"/>
      <c r="K12" s="2256"/>
      <c r="L12" s="1364"/>
      <c r="P12" s="2257"/>
      <c r="Q12" s="2257"/>
      <c r="R12" s="2347"/>
      <c r="S12" s="2343"/>
      <c r="T12" s="2362"/>
      <c r="U12" s="300"/>
      <c r="V12" s="1393"/>
      <c r="W12" s="1394" t="str">
        <f>Z8&amp;"-"&amp;AB8</f>
        <v>-</v>
      </c>
      <c r="X12" s="1393"/>
      <c r="Y12" s="1394" t="str">
        <f>AB8&amp;"-"&amp;AD8</f>
        <v>-да</v>
      </c>
      <c r="Z12" s="1393"/>
      <c r="AA12" s="1393"/>
      <c r="AB12" s="1393"/>
      <c r="AC12" s="1393"/>
      <c r="AD12" s="2112"/>
      <c r="AE12" s="312"/>
      <c r="AF12" s="314"/>
      <c r="AG12" s="416" t="s">
        <v>507</v>
      </c>
      <c r="AH12" s="1393"/>
      <c r="AI12" s="1393"/>
      <c r="AJ12" s="1393"/>
      <c r="AK12" s="1393"/>
      <c r="AL12" s="1393"/>
      <c r="AM12" s="1393"/>
      <c r="AN12" s="1393"/>
      <c r="AO12" s="1393"/>
      <c r="AP12" s="1393"/>
      <c r="AQ12" s="1393"/>
      <c r="AR12" s="1393"/>
      <c r="AS12" s="1393"/>
      <c r="AT12" s="1393"/>
      <c r="AU12" s="1394" t="str">
        <f>AX8&amp;"-"&amp;AZ8</f>
        <v>-</v>
      </c>
      <c r="AV12" s="1393"/>
      <c r="AW12" s="1394" t="str">
        <f>AZ8&amp;"-"&amp;BB8</f>
        <v>-</v>
      </c>
      <c r="AX12" s="1393"/>
      <c r="AY12" s="1393"/>
      <c r="AZ12" s="1393"/>
      <c r="BA12" s="1393"/>
      <c r="BB12" s="1396" t="str">
        <f>BE8&amp;"-"&amp;BG8</f>
        <v>-</v>
      </c>
      <c r="BC12" s="2254"/>
      <c r="BE12" s="500"/>
      <c r="BF12" s="500" t="str">
        <f>IF(T12="","",T12)</f>
        <v/>
      </c>
      <c r="BG12" s="500"/>
      <c r="BH12" s="500"/>
      <c r="BI12" s="1155">
        <v>0</v>
      </c>
    </row>
    <row customHeight="1" ht="11.25" hidden="1">
      <c r="A13" s="1363"/>
      <c r="B13" s="1363"/>
      <c r="C13" s="1363"/>
      <c r="D13" s="1363"/>
      <c r="E13" s="2259"/>
      <c r="F13" s="2259"/>
      <c r="G13" s="2259"/>
      <c r="H13" s="2259"/>
      <c r="I13" s="2286"/>
      <c r="J13" s="2256"/>
      <c r="K13" s="1363"/>
      <c r="L13" s="1364"/>
      <c r="P13" s="2257"/>
      <c r="Q13" s="2257"/>
      <c r="R13" s="356"/>
      <c r="S13" s="1278"/>
      <c r="T13" s="287" t="s">
        <v>470</v>
      </c>
      <c r="U13" s="367"/>
      <c r="V13" s="367"/>
      <c r="W13" s="367"/>
      <c r="X13" s="367"/>
      <c r="Y13" s="367"/>
      <c r="Z13" s="367"/>
      <c r="AA13" s="367"/>
      <c r="AB13" s="367"/>
      <c r="AC13" s="367"/>
      <c r="AD13" s="1505"/>
      <c r="AE13" s="367"/>
      <c r="AF13" s="367"/>
      <c r="AG13" s="367"/>
      <c r="AH13" s="367"/>
      <c r="AI13" s="367"/>
      <c r="AJ13" s="367"/>
      <c r="AK13" s="367"/>
      <c r="AL13" s="367"/>
      <c r="AM13" s="367"/>
      <c r="AN13" s="367"/>
      <c r="AO13" s="367"/>
      <c r="AP13" s="367"/>
      <c r="AQ13" s="367"/>
      <c r="AR13" s="367"/>
      <c r="AS13" s="367"/>
      <c r="AT13" s="367"/>
      <c r="AU13" s="367"/>
      <c r="AV13" s="367"/>
      <c r="AW13" s="367"/>
      <c r="AX13" s="367"/>
      <c r="AY13" s="367"/>
      <c r="AZ13" s="367"/>
      <c r="BA13" s="367"/>
      <c r="BB13" s="324"/>
      <c r="BC13" s="2255"/>
      <c r="BE13" s="500"/>
      <c r="BF13" s="500" t="str">
        <f>IF(T13="","",T13)</f>
        <v>Добавить строку</v>
      </c>
      <c r="BG13" s="500"/>
      <c r="BH13" s="500"/>
      <c r="BI13" s="1155">
        <v>0</v>
      </c>
    </row>
    <row s="1642" customFormat="1" customHeight="1" ht="14.25" hidden="1">
      <c r="A14" s="1343"/>
      <c r="B14" s="1343"/>
      <c r="C14" s="1343"/>
      <c r="D14" s="1343"/>
      <c r="E14" s="2259"/>
      <c r="F14" s="2259"/>
      <c r="G14" s="2259"/>
      <c r="H14" s="2259"/>
      <c r="I14" s="2256"/>
      <c r="J14" s="1343"/>
      <c r="K14" s="1343"/>
      <c r="L14" s="1346"/>
      <c r="M14" s="510"/>
      <c r="N14" s="510"/>
      <c r="O14" s="510"/>
      <c r="P14" s="2257"/>
      <c r="Q14" s="1462"/>
      <c r="R14" s="356"/>
      <c r="S14" s="1386"/>
      <c r="T14" s="1387"/>
      <c r="U14" s="1388"/>
      <c r="V14" s="1388"/>
      <c r="W14" s="1388"/>
      <c r="X14" s="1388"/>
      <c r="Y14" s="1388"/>
      <c r="Z14" s="1388"/>
      <c r="AA14" s="1388"/>
      <c r="AB14" s="1388"/>
      <c r="AC14" s="1388"/>
      <c r="AD14" s="1388"/>
      <c r="AE14" s="1388"/>
      <c r="AF14" s="1388"/>
      <c r="AG14" s="1388"/>
      <c r="AH14" s="1388"/>
      <c r="AI14" s="1388"/>
      <c r="AJ14" s="1388"/>
      <c r="AK14" s="1388"/>
      <c r="AL14" s="1388"/>
      <c r="AM14" s="1388"/>
      <c r="AN14" s="1388"/>
      <c r="AO14" s="1388"/>
      <c r="AP14" s="1388"/>
      <c r="AQ14" s="1388"/>
      <c r="AR14" s="1388"/>
      <c r="AS14" s="1388"/>
      <c r="AT14" s="1388"/>
      <c r="AU14" s="1388"/>
      <c r="AV14" s="1388"/>
      <c r="AW14" s="1388"/>
      <c r="AX14" s="1388"/>
      <c r="AY14" s="1388"/>
      <c r="AZ14" s="1388"/>
      <c r="BA14" s="1388"/>
      <c r="BB14" s="1388"/>
      <c r="BC14" s="1389"/>
      <c r="BE14" s="500"/>
      <c r="BF14" s="500" t="str">
        <f>IF(T14="","",T14)</f>
        <v/>
      </c>
      <c r="BG14" s="500"/>
      <c r="BH14" s="500"/>
      <c r="BI14" s="511">
        <v>0</v>
      </c>
    </row>
    <row s="1642" customFormat="1" customHeight="1" ht="14.25" hidden="1">
      <c r="A15" s="1343"/>
      <c r="B15" s="1343"/>
      <c r="C15" s="1343"/>
      <c r="D15" s="1343"/>
      <c r="E15" s="2259"/>
      <c r="F15" s="2259"/>
      <c r="G15" s="2259"/>
      <c r="H15" s="2258"/>
      <c r="I15" s="1343"/>
      <c r="J15" s="1343"/>
      <c r="K15" s="1343"/>
      <c r="L15" s="1346"/>
      <c r="M15" s="1315"/>
      <c r="N15" s="1315"/>
      <c r="O15" s="518"/>
      <c r="P15" s="380"/>
      <c r="Q15" s="1344"/>
      <c r="R15" s="1401"/>
      <c r="S15" s="1386"/>
      <c r="T15" s="1387"/>
      <c r="U15" s="1388"/>
      <c r="V15" s="1388"/>
      <c r="W15" s="1388"/>
      <c r="X15" s="1388"/>
      <c r="Y15" s="1388"/>
      <c r="Z15" s="1388"/>
      <c r="AA15" s="1388"/>
      <c r="AB15" s="1388"/>
      <c r="AC15" s="1388"/>
      <c r="AD15" s="1388"/>
      <c r="AE15" s="1388"/>
      <c r="AF15" s="1388"/>
      <c r="AG15" s="1388"/>
      <c r="AH15" s="1388"/>
      <c r="AI15" s="1388"/>
      <c r="AJ15" s="1388"/>
      <c r="AK15" s="1388"/>
      <c r="AL15" s="1388"/>
      <c r="AM15" s="1388"/>
      <c r="AN15" s="1388"/>
      <c r="AO15" s="1388"/>
      <c r="AP15" s="1388"/>
      <c r="AQ15" s="1388"/>
      <c r="AR15" s="1388"/>
      <c r="AS15" s="1388"/>
      <c r="AT15" s="1388"/>
      <c r="AU15" s="1388"/>
      <c r="AV15" s="1388"/>
      <c r="AW15" s="1388"/>
      <c r="AX15" s="1388"/>
      <c r="AY15" s="1388"/>
      <c r="AZ15" s="1388"/>
      <c r="BA15" s="1388"/>
      <c r="BB15" s="1388"/>
      <c r="BC15" s="1389"/>
      <c r="BE15" s="500"/>
      <c r="BF15" s="500" t="str">
        <f>IF(T15="","",T15)</f>
        <v/>
      </c>
      <c r="BG15" s="500"/>
      <c r="BH15" s="500"/>
      <c r="BI15" s="511">
        <v>0</v>
      </c>
    </row>
    <row s="1642" customFormat="1" customHeight="1" ht="14.25" hidden="1">
      <c r="A16" s="1343"/>
      <c r="B16" s="1343"/>
      <c r="C16" s="1343"/>
      <c r="D16" s="1314"/>
      <c r="E16" s="2259"/>
      <c r="F16" s="2259"/>
      <c r="G16" s="2258"/>
      <c r="H16" s="1314"/>
      <c r="I16" s="1314"/>
      <c r="J16" s="1314"/>
      <c r="K16" s="1314"/>
      <c r="L16" s="1464"/>
      <c r="M16" s="1315"/>
      <c r="N16" s="1315"/>
      <c r="P16" s="1316"/>
      <c r="Q16" s="1317"/>
      <c r="R16" s="1316"/>
      <c r="S16" s="1322"/>
      <c r="T16" s="1325"/>
      <c r="U16" s="1324"/>
      <c r="V16" s="1324"/>
      <c r="W16" s="1324"/>
      <c r="X16" s="1324"/>
      <c r="Y16" s="1324"/>
      <c r="Z16" s="1324"/>
      <c r="AA16" s="1324"/>
      <c r="AB16" s="1324"/>
      <c r="AC16" s="1324"/>
      <c r="AD16" s="1324"/>
      <c r="AE16" s="1324"/>
      <c r="AF16" s="1324"/>
      <c r="AG16" s="1324"/>
      <c r="AH16" s="1324"/>
      <c r="AI16" s="1324"/>
      <c r="AJ16" s="1324"/>
      <c r="AK16" s="1324"/>
      <c r="AL16" s="1324"/>
      <c r="AM16" s="1324"/>
      <c r="AN16" s="1324"/>
      <c r="AO16" s="1324"/>
      <c r="AP16" s="1324"/>
      <c r="AQ16" s="1324"/>
      <c r="AR16" s="1324"/>
      <c r="AS16" s="1324"/>
      <c r="AT16" s="1324"/>
      <c r="AU16" s="1324"/>
      <c r="AV16" s="1324"/>
      <c r="AW16" s="1324"/>
      <c r="AX16" s="1324"/>
      <c r="AY16" s="1324"/>
      <c r="AZ16" s="1324"/>
      <c r="BA16" s="1324"/>
      <c r="BB16" s="1324"/>
      <c r="BC16" s="1324"/>
      <c r="BE16" s="789"/>
      <c r="BF16" s="789" t="str">
        <f>IF(T16="","",T16)</f>
        <v/>
      </c>
      <c r="BG16" s="789"/>
      <c r="BH16" s="789"/>
      <c r="BI16" s="518">
        <v>0</v>
      </c>
    </row>
    <row s="1642" customFormat="1" customHeight="1" ht="14.25" hidden="1">
      <c r="A17" s="1343"/>
      <c r="B17" s="1343"/>
      <c r="C17" s="1314"/>
      <c r="D17" s="1314"/>
      <c r="E17" s="2259"/>
      <c r="F17" s="2258"/>
      <c r="G17" s="1314"/>
      <c r="H17" s="1314"/>
      <c r="I17" s="1314"/>
      <c r="J17" s="1314"/>
      <c r="K17" s="1314"/>
      <c r="L17" s="1464"/>
      <c r="M17" s="1321"/>
      <c r="N17" s="1321"/>
      <c r="P17" s="1316"/>
      <c r="Q17" s="1317"/>
      <c r="R17" s="1316"/>
      <c r="S17" s="1322"/>
      <c r="T17" s="1325" t="s">
        <v>417</v>
      </c>
      <c r="U17" s="1324"/>
      <c r="V17" s="1324"/>
      <c r="W17" s="1324"/>
      <c r="X17" s="1324"/>
      <c r="Y17" s="1324"/>
      <c r="Z17" s="1324"/>
      <c r="AA17" s="1324"/>
      <c r="AB17" s="1324"/>
      <c r="AC17" s="1324"/>
      <c r="AD17" s="1324"/>
      <c r="AE17" s="1324"/>
      <c r="AF17" s="1324"/>
      <c r="AG17" s="1324"/>
      <c r="AH17" s="1324"/>
      <c r="AI17" s="1324"/>
      <c r="AJ17" s="1324"/>
      <c r="AK17" s="1324"/>
      <c r="AL17" s="1324"/>
      <c r="AM17" s="1324"/>
      <c r="AN17" s="1324"/>
      <c r="AO17" s="1324"/>
      <c r="AP17" s="1324"/>
      <c r="AQ17" s="1324"/>
      <c r="AR17" s="1324"/>
      <c r="AS17" s="1324"/>
      <c r="AT17" s="1324"/>
      <c r="AU17" s="1324"/>
      <c r="AV17" s="1324"/>
      <c r="AW17" s="1324"/>
      <c r="AX17" s="1324"/>
      <c r="AY17" s="1324"/>
      <c r="AZ17" s="1324"/>
      <c r="BA17" s="1324"/>
      <c r="BB17" s="1324"/>
      <c r="BC17" s="1324"/>
      <c r="BE17" s="789"/>
      <c r="BF17" s="789" t="str">
        <f>IF(T17="","",T17)</f>
        <v>Добавить централизованную систему для дифференциации</v>
      </c>
      <c r="BG17" s="789"/>
      <c r="BH17" s="789"/>
      <c r="BI17" s="518">
        <v>0</v>
      </c>
    </row>
    <row s="1642" customFormat="1" customHeight="1" ht="14.25" hidden="1">
      <c r="A18" s="1343"/>
      <c r="B18" s="1343"/>
      <c r="C18" s="1343"/>
      <c r="D18" s="1343"/>
      <c r="E18" s="2258"/>
      <c r="F18" s="1343"/>
      <c r="G18" s="1343"/>
      <c r="H18" s="1343"/>
      <c r="I18" s="1343"/>
      <c r="J18" s="1343"/>
      <c r="K18" s="1343"/>
      <c r="L18" s="1346"/>
      <c r="M18" s="1321"/>
      <c r="N18" s="1321"/>
      <c r="O18" s="518"/>
      <c r="P18" s="380"/>
      <c r="Q18" s="1344"/>
      <c r="R18" s="380"/>
      <c r="S18" s="1322"/>
      <c r="T18" s="1325" t="s">
        <v>418</v>
      </c>
      <c r="U18" s="1324"/>
      <c r="V18" s="1324"/>
      <c r="W18" s="1324"/>
      <c r="X18" s="1324"/>
      <c r="Y18" s="1324"/>
      <c r="Z18" s="1324"/>
      <c r="AA18" s="1324"/>
      <c r="AB18" s="1324"/>
      <c r="AC18" s="1324"/>
      <c r="AD18" s="1324"/>
      <c r="AE18" s="1324"/>
      <c r="AF18" s="1324"/>
      <c r="AG18" s="1324"/>
      <c r="AH18" s="1324"/>
      <c r="AI18" s="1324"/>
      <c r="AJ18" s="1324"/>
      <c r="AK18" s="1324"/>
      <c r="AL18" s="1324"/>
      <c r="AM18" s="1324"/>
      <c r="AN18" s="1324"/>
      <c r="AO18" s="1324"/>
      <c r="AP18" s="1324"/>
      <c r="AQ18" s="1324"/>
      <c r="AR18" s="1324"/>
      <c r="AS18" s="1324"/>
      <c r="AT18" s="1324"/>
      <c r="AU18" s="1324"/>
      <c r="AV18" s="1324"/>
      <c r="AW18" s="1324"/>
      <c r="AX18" s="1324"/>
      <c r="AY18" s="1324"/>
      <c r="AZ18" s="1324"/>
      <c r="BA18" s="1324"/>
      <c r="BB18" s="1324"/>
      <c r="BC18" s="1324"/>
      <c r="BE18" s="500"/>
      <c r="BF18" s="500" t="str">
        <f>IF(T18="","",T18)</f>
        <v>Добавить территорию для дифференциации</v>
      </c>
      <c r="BG18" s="500"/>
      <c r="BH18" s="500"/>
      <c r="BI18" s="511">
        <v>0</v>
      </c>
    </row>
    <row customHeight="1" ht="14.25" hidden="1">
      <c r="AC19" s="327"/>
      <c r="BA19" s="327"/>
      <c r="BI19" s="1155">
        <v>0</v>
      </c>
    </row>
    <row customHeight="1" ht="14.25" hidden="1">
      <c r="AD20" s="1324" t="s">
        <v>19</v>
      </c>
      <c r="AE20" s="1501"/>
      <c r="AF20" s="548">
        <v>1</v>
      </c>
      <c r="AG20" s="1502"/>
      <c r="AH20" s="1324" t="s">
        <v>19</v>
      </c>
      <c r="AI20" s="1501"/>
      <c r="AJ20" s="548">
        <v>1</v>
      </c>
      <c r="AK20" s="1502"/>
      <c r="AL20" s="1324" t="s">
        <v>19</v>
      </c>
      <c r="AM20" s="1503"/>
      <c r="AN20" s="548">
        <v>1</v>
      </c>
      <c r="AO20" s="1504"/>
      <c r="AP20" s="1324" t="s">
        <v>19</v>
      </c>
      <c r="AQ20" s="1503"/>
      <c r="AR20" s="548">
        <v>1</v>
      </c>
      <c r="AS20" s="1504"/>
      <c r="AT20" s="325"/>
      <c r="AU20" s="384"/>
      <c r="AV20" s="325"/>
      <c r="AW20" s="384"/>
      <c r="AX20" s="1736"/>
      <c r="AY20" s="1460" t="s">
        <v>66</v>
      </c>
      <c r="AZ20" s="1736"/>
      <c r="BA20" s="1460" t="s">
        <v>66</v>
      </c>
      <c r="BI20" s="1155">
        <v>0</v>
      </c>
    </row>
    <row customHeight="1" ht="14.25" hidden="1">
      <c r="BD21" s="496"/>
      <c r="BE21" s="496"/>
      <c r="BF21" s="496"/>
      <c r="BG21" s="496"/>
      <c r="BH21" s="496"/>
      <c r="BI21" s="1155">
        <v>0</v>
      </c>
    </row>
    <row customHeight="1" ht="14.25" hidden="1">
      <c r="O22" s="1367" t="s">
        <v>419</v>
      </c>
      <c r="Z22" s="1345"/>
      <c r="AB22" s="1345"/>
      <c r="AC22" s="327"/>
      <c r="AX22" s="1345"/>
      <c r="AZ22" s="1345"/>
      <c r="BA22" s="327"/>
      <c r="BD22" s="496"/>
      <c r="BE22" s="496"/>
      <c r="BF22" s="496"/>
      <c r="BG22" s="496"/>
      <c r="BH22" s="496"/>
      <c r="BI22" s="1155">
        <v>0</v>
      </c>
    </row>
    <row customHeight="1" ht="14.25" hidden="1">
      <c r="AC23" s="327"/>
      <c r="BA23" s="327"/>
      <c r="BD23" s="496"/>
      <c r="BE23" s="496"/>
      <c r="BF23" s="496"/>
      <c r="BG23" s="496"/>
      <c r="BH23" s="496"/>
      <c r="BI23" s="1155">
        <v>0</v>
      </c>
    </row>
    <row s="1509" customFormat="1" customHeight="1" ht="14.25" hidden="1">
      <c r="M24" s="1508"/>
      <c r="N24" s="1508"/>
      <c r="O24" s="1509" t="s">
        <v>420</v>
      </c>
      <c r="P24" s="1508"/>
      <c r="Q24" s="1510"/>
      <c r="R24" s="1510"/>
      <c r="AA24" s="1507" t="s">
        <v>422</v>
      </c>
      <c r="AC24" s="1507" t="s">
        <v>423</v>
      </c>
      <c r="AD24" s="1507" t="s">
        <v>471</v>
      </c>
      <c r="AH24" s="1507" t="s">
        <v>471</v>
      </c>
      <c r="AK24" s="1507" t="s">
        <v>508</v>
      </c>
      <c r="AL24" s="1507" t="s">
        <v>471</v>
      </c>
      <c r="AP24" s="1507" t="s">
        <v>471</v>
      </c>
      <c r="AY24" s="1507" t="s">
        <v>422</v>
      </c>
      <c r="BA24" s="1507" t="s">
        <v>423</v>
      </c>
      <c r="BD24" s="1511"/>
      <c r="BE24" s="1511"/>
      <c r="BF24" s="1511"/>
      <c r="BG24" s="1511"/>
      <c r="BH24" s="1511"/>
      <c r="BI24" s="1507">
        <v>0</v>
      </c>
    </row>
    <row customHeight="1" ht="14.25" hidden="1">
      <c r="O25" s="1364"/>
      <c r="BD25" s="496"/>
      <c r="BE25" s="496"/>
      <c r="BF25" s="496"/>
      <c r="BG25" s="496"/>
      <c r="BH25" s="496"/>
      <c r="BI25" s="1155">
        <v>0</v>
      </c>
    </row>
    <row customHeight="1" ht="14.25" hidden="1">
      <c r="O26" s="1364"/>
      <c r="BD26" s="496"/>
      <c r="BE26" s="496"/>
      <c r="BF26" s="496"/>
      <c r="BG26" s="496"/>
      <c r="BH26" s="496"/>
      <c r="BI26" s="1155">
        <v>0</v>
      </c>
    </row>
    <row customHeight="1" ht="14.699999999999998">
      <c r="Q27" s="291"/>
      <c r="R27" s="376"/>
      <c r="S27" s="1275"/>
      <c r="T27" s="363"/>
      <c r="U27" s="363"/>
      <c r="V27" s="509"/>
      <c r="W27" s="509"/>
      <c r="X27" s="509"/>
      <c r="Y27" s="509"/>
      <c r="Z27" s="509"/>
      <c r="AA27" s="509"/>
      <c r="AB27" s="509"/>
      <c r="AC27" s="509"/>
      <c r="AD27" s="509"/>
      <c r="AE27" s="509"/>
      <c r="AF27" s="509"/>
      <c r="AG27" s="509"/>
      <c r="AH27" s="509"/>
      <c r="AI27" s="509"/>
      <c r="AJ27" s="509"/>
      <c r="AK27" s="509"/>
      <c r="AL27" s="509"/>
      <c r="AM27" s="509"/>
      <c r="AN27" s="509"/>
      <c r="AO27" s="509"/>
      <c r="AP27" s="509"/>
      <c r="AQ27" s="509"/>
      <c r="AR27" s="509"/>
      <c r="AS27" s="509"/>
      <c r="AT27" s="509"/>
      <c r="AU27" s="509"/>
      <c r="AV27" s="509"/>
      <c r="AW27" s="509"/>
      <c r="AX27" s="509"/>
      <c r="AY27" s="509"/>
      <c r="AZ27" s="509"/>
      <c r="BA27" s="509"/>
      <c r="BI27" s="1155">
        <v>14</v>
      </c>
    </row>
    <row customHeight="1" ht="14.699999999999998">
      <c r="Q28" s="291"/>
      <c r="R28" s="376"/>
      <c r="S28" s="2248" t="str">
        <f>IF(TEMPLATE_GROUP="P",PT_P_FORM_COLDVSNA_5_NAME_FORM,PT_R_FORM_COLDVSNA_17_NAME_FORM)</f>
        <v>Форма 14. Информация о предложении организации холодного водоснабжения расчетной величины тарифов на подключение (технологическое присоединение) к централизованной системе холодного водоснабжения</v>
      </c>
      <c r="T28" s="2248"/>
      <c r="U28" s="2248"/>
      <c r="V28" s="2248"/>
      <c r="W28" s="2248"/>
      <c r="X28" s="2248"/>
      <c r="Y28" s="2248"/>
      <c r="Z28" s="2248"/>
      <c r="AA28" s="2248"/>
      <c r="AB28" s="2248"/>
      <c r="AC28" s="2248"/>
      <c r="AD28" s="2248"/>
      <c r="AE28" s="2248"/>
      <c r="AF28" s="2248"/>
      <c r="AG28" s="2248"/>
      <c r="AH28" s="2248"/>
      <c r="AI28" s="2248"/>
      <c r="AJ28" s="2248"/>
      <c r="AK28" s="2248"/>
      <c r="AL28" s="2248"/>
      <c r="AM28" s="2248"/>
      <c r="AN28" s="2248"/>
      <c r="AO28" s="2248"/>
      <c r="AP28" s="2248"/>
      <c r="AQ28" s="2248"/>
      <c r="AR28" s="2248"/>
      <c r="AS28" s="2248"/>
      <c r="AT28" s="2248"/>
      <c r="AU28" s="2248"/>
      <c r="AV28" s="2248"/>
      <c r="AW28" s="2248"/>
      <c r="AX28" s="2248"/>
      <c r="AY28" s="2248"/>
      <c r="AZ28" s="2248"/>
      <c r="BA28" s="1243"/>
      <c r="BI28" s="1155">
        <v>14</v>
      </c>
    </row>
    <row customHeight="1" ht="14.699999999999998">
      <c r="Q29" s="291"/>
      <c r="R29" s="376"/>
      <c r="S29" s="2249" t="str">
        <f>IF(org=0,"Не определено",org)</f>
        <v>ПАО "ОГК-2"</v>
      </c>
      <c r="T29" s="2249"/>
      <c r="U29" s="2249"/>
      <c r="V29" s="2249"/>
      <c r="W29" s="2249"/>
      <c r="X29" s="2249"/>
      <c r="Y29" s="2249"/>
      <c r="Z29" s="2249"/>
      <c r="AA29" s="2249"/>
      <c r="AB29" s="2249"/>
      <c r="AC29" s="2249"/>
      <c r="AD29" s="2249"/>
      <c r="AE29" s="2249"/>
      <c r="AF29" s="2249"/>
      <c r="AG29" s="2249"/>
      <c r="AH29" s="2249"/>
      <c r="AI29" s="2249"/>
      <c r="AJ29" s="2249"/>
      <c r="AK29" s="2249"/>
      <c r="AL29" s="2249"/>
      <c r="AM29" s="2249"/>
      <c r="AN29" s="2249"/>
      <c r="AO29" s="2249"/>
      <c r="AP29" s="2249"/>
      <c r="AQ29" s="2249"/>
      <c r="AR29" s="2249"/>
      <c r="AS29" s="2249"/>
      <c r="AT29" s="2249"/>
      <c r="AU29" s="2249"/>
      <c r="AV29" s="2249"/>
      <c r="AW29" s="2249"/>
      <c r="AX29" s="2249"/>
      <c r="AY29" s="2249"/>
      <c r="AZ29" s="2249"/>
      <c r="BA29" s="1243"/>
      <c r="BI29" s="1155">
        <v>14</v>
      </c>
    </row>
    <row customHeight="1" ht="14.25" hidden="1">
      <c r="Q30" s="291"/>
      <c r="R30" s="376"/>
      <c r="S30" s="1275"/>
      <c r="T30" s="363"/>
      <c r="U30" s="363"/>
      <c r="V30" s="322"/>
      <c r="W30" s="322"/>
      <c r="X30" s="322"/>
      <c r="Y30" s="322"/>
      <c r="Z30" s="322"/>
      <c r="AA30" s="322"/>
      <c r="AB30" s="322"/>
      <c r="AC30" s="322"/>
      <c r="AD30" s="322"/>
      <c r="AE30" s="322"/>
      <c r="AF30" s="322"/>
      <c r="AG30" s="322"/>
      <c r="AH30" s="322"/>
      <c r="AI30" s="322"/>
      <c r="AJ30" s="322"/>
      <c r="AK30" s="322"/>
      <c r="AL30" s="322"/>
      <c r="AM30" s="322"/>
      <c r="AN30" s="322"/>
      <c r="AO30" s="322"/>
      <c r="AP30" s="322"/>
      <c r="AQ30" s="322"/>
      <c r="AR30" s="322"/>
      <c r="AS30" s="322"/>
      <c r="AT30" s="322"/>
      <c r="AU30" s="322"/>
      <c r="AV30" s="322"/>
      <c r="AW30" s="322"/>
      <c r="AX30" s="322"/>
      <c r="AY30" s="322"/>
      <c r="AZ30" s="322"/>
      <c r="BA30" s="322"/>
      <c r="BB30" s="509"/>
      <c r="BI30" s="1155">
        <v>0</v>
      </c>
    </row>
    <row s="1853" customFormat="1" customHeight="1" ht="25.5" hidden="1">
      <c r="A31" s="1368"/>
      <c r="B31" s="1368"/>
      <c r="C31" s="1368"/>
      <c r="D31" s="1368"/>
      <c r="E31" s="1368"/>
      <c r="F31" s="1368"/>
      <c r="G31" s="1368"/>
      <c r="H31" s="1368"/>
      <c r="I31" s="1368"/>
      <c r="J31" s="1368"/>
      <c r="K31" s="1368"/>
      <c r="L31" s="1369"/>
      <c r="M31" s="1368"/>
      <c r="N31" s="1368"/>
      <c r="O31" s="1368"/>
      <c r="P31" s="1368"/>
      <c r="Q31" s="1368"/>
      <c r="S31" s="2250" t="s">
        <v>42</v>
      </c>
      <c r="T31" s="2250"/>
      <c r="U31" s="1372"/>
      <c r="V31" s="2251" t="str">
        <f>IF(TITLE_NAME_OR_PR_CHANGE="",IF(TITLE_NAME_OR_PR="","",TITLE_NAME_OR_PR),TITLE_NAME_OR_PR_CHANGE)</f>
        <v/>
      </c>
      <c r="W31" s="2251"/>
      <c r="X31" s="2251"/>
      <c r="Y31" s="2251"/>
      <c r="Z31" s="2251"/>
      <c r="AA31" s="2251"/>
      <c r="AB31" s="2251"/>
      <c r="AC31" s="326"/>
      <c r="AD31" s="2251" t="str">
        <f>IF(TITLE_NAME_OR_PR_CHANGE="",IF(TITLE_NAME_OR_PR="","",TITLE_NAME_OR_PR),TITLE_NAME_OR_PR_CHANGE)</f>
        <v/>
      </c>
      <c r="AE31" s="2251"/>
      <c r="AF31" s="2251"/>
      <c r="AG31" s="2251"/>
      <c r="AH31" s="2251"/>
      <c r="AI31" s="2251"/>
      <c r="AJ31" s="2251"/>
      <c r="AK31" s="2251"/>
      <c r="AL31" s="2251"/>
      <c r="AM31" s="2251"/>
      <c r="AN31" s="2251"/>
      <c r="AO31" s="2251"/>
      <c r="AP31" s="2251"/>
      <c r="AQ31" s="2251"/>
      <c r="AR31" s="2251"/>
      <c r="AS31" s="2251"/>
      <c r="AT31" s="2251"/>
      <c r="AU31" s="2251"/>
      <c r="AV31" s="2251"/>
      <c r="AW31" s="2251"/>
      <c r="AX31" s="2251"/>
      <c r="AY31" s="2251"/>
      <c r="AZ31" s="2251"/>
      <c r="BA31" s="326"/>
      <c r="BB31" s="326"/>
      <c r="BC31" s="280"/>
      <c r="BD31" s="368"/>
      <c r="BE31" s="368"/>
      <c r="BF31" s="368"/>
      <c r="BG31" s="368"/>
      <c r="BH31" s="368"/>
      <c r="BI31" s="418">
        <v>0</v>
      </c>
    </row>
    <row s="1853" customFormat="1" customHeight="1" ht="18.75" hidden="1">
      <c r="A32" s="1368"/>
      <c r="B32" s="1368"/>
      <c r="C32" s="1368"/>
      <c r="D32" s="1368"/>
      <c r="E32" s="1368"/>
      <c r="F32" s="1368"/>
      <c r="G32" s="1368"/>
      <c r="H32" s="1368"/>
      <c r="I32" s="1368"/>
      <c r="J32" s="1368"/>
      <c r="K32" s="1368"/>
      <c r="L32" s="1369"/>
      <c r="M32" s="1368"/>
      <c r="N32" s="1368"/>
      <c r="O32" s="1368"/>
      <c r="P32" s="1368"/>
      <c r="Q32" s="1368"/>
      <c r="S32" s="2250" t="s">
        <v>425</v>
      </c>
      <c r="T32" s="2250"/>
      <c r="U32" s="1372"/>
      <c r="V32" s="2264" t="str">
        <f>IF(TITLE_DATE_PR_CHANGE="",IF(TITLE_DATE_PR="","",TITLE_DATE_PR),TITLE_DATE_PR_CHANGE)</f>
        <v/>
      </c>
      <c r="W32" s="2264"/>
      <c r="X32" s="2264"/>
      <c r="Y32" s="2264"/>
      <c r="Z32" s="2264"/>
      <c r="AA32" s="2264"/>
      <c r="AB32" s="2264"/>
      <c r="AC32" s="326"/>
      <c r="AD32" s="2264" t="str">
        <f>IF(TITLE_DATE_PR_CHANGE="",IF(TITLE_DATE_PR="","",TITLE_DATE_PR),TITLE_DATE_PR_CHANGE)</f>
        <v/>
      </c>
      <c r="AE32" s="2264"/>
      <c r="AF32" s="2264"/>
      <c r="AG32" s="2264"/>
      <c r="AH32" s="2264"/>
      <c r="AI32" s="2264"/>
      <c r="AJ32" s="2264"/>
      <c r="AK32" s="2264"/>
      <c r="AL32" s="2264"/>
      <c r="AM32" s="2264"/>
      <c r="AN32" s="2264"/>
      <c r="AO32" s="2264"/>
      <c r="AP32" s="2264"/>
      <c r="AQ32" s="2264"/>
      <c r="AR32" s="2264"/>
      <c r="AS32" s="2264"/>
      <c r="AT32" s="2264"/>
      <c r="AU32" s="2264"/>
      <c r="AV32" s="2264"/>
      <c r="AW32" s="2264"/>
      <c r="AX32" s="2264"/>
      <c r="AY32" s="2264"/>
      <c r="AZ32" s="2264"/>
      <c r="BA32" s="326"/>
      <c r="BB32" s="326"/>
      <c r="BC32" s="280"/>
      <c r="BD32" s="368"/>
      <c r="BE32" s="368"/>
      <c r="BF32" s="368"/>
      <c r="BG32" s="368"/>
      <c r="BH32" s="368"/>
      <c r="BI32" s="418">
        <v>0</v>
      </c>
    </row>
    <row s="1853" customFormat="1" customHeight="1" ht="18.75" hidden="1">
      <c r="A33" s="1368"/>
      <c r="B33" s="1368"/>
      <c r="C33" s="1368"/>
      <c r="D33" s="1368"/>
      <c r="E33" s="1368"/>
      <c r="F33" s="1368"/>
      <c r="G33" s="1368"/>
      <c r="H33" s="1368"/>
      <c r="I33" s="1368"/>
      <c r="J33" s="1368"/>
      <c r="K33" s="1368"/>
      <c r="L33" s="1369"/>
      <c r="M33" s="1368"/>
      <c r="N33" s="1368"/>
      <c r="O33" s="1368"/>
      <c r="P33" s="1368"/>
      <c r="Q33" s="1368"/>
      <c r="S33" s="2250" t="s">
        <v>426</v>
      </c>
      <c r="T33" s="2250"/>
      <c r="U33" s="1372"/>
      <c r="V33" s="2251" t="str">
        <f>IF(TITLE_NUMBER_PR_CHANGE="",IF(TITLE_NUMBER_PR="","",TITLE_NUMBER_PR),TITLE_NUMBER_PR_CHANGE)</f>
        <v/>
      </c>
      <c r="W33" s="2251"/>
      <c r="X33" s="2251"/>
      <c r="Y33" s="2251"/>
      <c r="Z33" s="2251"/>
      <c r="AA33" s="2251"/>
      <c r="AB33" s="2251"/>
      <c r="AC33" s="326"/>
      <c r="AD33" s="2251" t="str">
        <f>IF(TITLE_NUMBER_PR_CHANGE="",IF(TITLE_NUMBER_PR="","",TITLE_NUMBER_PR),TITLE_NUMBER_PR_CHANGE)</f>
        <v/>
      </c>
      <c r="AE33" s="2251"/>
      <c r="AF33" s="2251"/>
      <c r="AG33" s="2251"/>
      <c r="AH33" s="2251"/>
      <c r="AI33" s="2251"/>
      <c r="AJ33" s="2251"/>
      <c r="AK33" s="2251"/>
      <c r="AL33" s="2251"/>
      <c r="AM33" s="2251"/>
      <c r="AN33" s="2251"/>
      <c r="AO33" s="2251"/>
      <c r="AP33" s="2251"/>
      <c r="AQ33" s="2251"/>
      <c r="AR33" s="2251"/>
      <c r="AS33" s="2251"/>
      <c r="AT33" s="2251"/>
      <c r="AU33" s="2251"/>
      <c r="AV33" s="2251"/>
      <c r="AW33" s="2251"/>
      <c r="AX33" s="2251"/>
      <c r="AY33" s="2251"/>
      <c r="AZ33" s="2251"/>
      <c r="BA33" s="326"/>
      <c r="BB33" s="326"/>
      <c r="BC33" s="280"/>
      <c r="BD33" s="368"/>
      <c r="BE33" s="368"/>
      <c r="BF33" s="368"/>
      <c r="BG33" s="368"/>
      <c r="BH33" s="368"/>
      <c r="BI33" s="418">
        <v>0</v>
      </c>
    </row>
    <row s="1853" customFormat="1" customHeight="1" ht="18.75" hidden="1">
      <c r="A34" s="1368"/>
      <c r="B34" s="1368"/>
      <c r="C34" s="1368"/>
      <c r="D34" s="1368"/>
      <c r="E34" s="1368"/>
      <c r="F34" s="1368"/>
      <c r="G34" s="1368"/>
      <c r="H34" s="1368"/>
      <c r="I34" s="1368"/>
      <c r="J34" s="1368"/>
      <c r="K34" s="1368"/>
      <c r="L34" s="1369"/>
      <c r="M34" s="1368"/>
      <c r="N34" s="1368"/>
      <c r="O34" s="1368"/>
      <c r="P34" s="1368"/>
      <c r="Q34" s="1368"/>
      <c r="S34" s="2250" t="s">
        <v>43</v>
      </c>
      <c r="T34" s="2250"/>
      <c r="U34" s="1372"/>
      <c r="V34" s="2251" t="str">
        <f>IF(TITLE_IST_PUB_CHANGE="",IF(TITLE_IST_PUB="","",TITLE_IST_PUB),TITLE_IST_PUB_CHANGE)</f>
        <v/>
      </c>
      <c r="W34" s="2251"/>
      <c r="X34" s="2251"/>
      <c r="Y34" s="2251"/>
      <c r="Z34" s="2251"/>
      <c r="AA34" s="2251"/>
      <c r="AB34" s="2251"/>
      <c r="AC34" s="326"/>
      <c r="AD34" s="2251" t="str">
        <f>IF(TITLE_IST_PUB_CHANGE="",IF(TITLE_IST_PUB="","",TITLE_IST_PUB),TITLE_IST_PUB_CHANGE)</f>
        <v/>
      </c>
      <c r="AE34" s="2251"/>
      <c r="AF34" s="2251"/>
      <c r="AG34" s="2251"/>
      <c r="AH34" s="2251"/>
      <c r="AI34" s="2251"/>
      <c r="AJ34" s="2251"/>
      <c r="AK34" s="2251"/>
      <c r="AL34" s="2251"/>
      <c r="AM34" s="2251"/>
      <c r="AN34" s="2251"/>
      <c r="AO34" s="2251"/>
      <c r="AP34" s="2251"/>
      <c r="AQ34" s="2251"/>
      <c r="AR34" s="2251"/>
      <c r="AS34" s="2251"/>
      <c r="AT34" s="2251"/>
      <c r="AU34" s="2251"/>
      <c r="AV34" s="2251"/>
      <c r="AW34" s="2251"/>
      <c r="AX34" s="2251"/>
      <c r="AY34" s="2251"/>
      <c r="AZ34" s="2251"/>
      <c r="BA34" s="326"/>
      <c r="BB34" s="326"/>
      <c r="BC34" s="280"/>
      <c r="BD34" s="368"/>
      <c r="BE34" s="368"/>
      <c r="BF34" s="368"/>
      <c r="BG34" s="368"/>
      <c r="BH34" s="368"/>
      <c r="BI34" s="418">
        <v>0</v>
      </c>
    </row>
    <row customHeight="1" ht="14.25" hidden="1">
      <c r="Q35" s="291"/>
      <c r="R35" s="376"/>
      <c r="S35" s="1275"/>
      <c r="T35" s="363"/>
      <c r="U35" s="363"/>
      <c r="V35" s="322"/>
      <c r="W35" s="322"/>
      <c r="X35" s="322"/>
      <c r="Y35" s="322"/>
      <c r="Z35" s="322"/>
      <c r="AA35" s="322"/>
      <c r="AB35" s="322"/>
      <c r="AC35" s="322"/>
      <c r="AD35" s="322"/>
      <c r="AE35" s="322"/>
      <c r="AF35" s="322"/>
      <c r="AG35" s="322"/>
      <c r="AH35" s="322"/>
      <c r="AI35" s="322"/>
      <c r="AJ35" s="322"/>
      <c r="AK35" s="322"/>
      <c r="AL35" s="322"/>
      <c r="AM35" s="322"/>
      <c r="AN35" s="322"/>
      <c r="AO35" s="322"/>
      <c r="AP35" s="322"/>
      <c r="AQ35" s="322"/>
      <c r="AR35" s="322"/>
      <c r="AS35" s="322"/>
      <c r="AT35" s="322"/>
      <c r="AU35" s="322"/>
      <c r="AV35" s="322"/>
      <c r="AW35" s="322"/>
      <c r="AX35" s="322"/>
      <c r="AY35" s="322"/>
      <c r="AZ35" s="322"/>
      <c r="BA35" s="322"/>
      <c r="BB35" s="509"/>
      <c r="BI35" s="1155">
        <v>0</v>
      </c>
    </row>
    <row s="1853" customFormat="1" customHeight="1" ht="18.75" hidden="1">
      <c r="A36" s="1368"/>
      <c r="B36" s="1368"/>
      <c r="C36" s="1368"/>
      <c r="D36" s="1368"/>
      <c r="E36" s="1368"/>
      <c r="F36" s="1368"/>
      <c r="G36" s="1368"/>
      <c r="H36" s="1368"/>
      <c r="I36" s="1368"/>
      <c r="J36" s="1368"/>
      <c r="K36" s="1368"/>
      <c r="L36" s="1369"/>
      <c r="M36" s="1368"/>
      <c r="N36" s="1368"/>
      <c r="O36" s="1368"/>
      <c r="P36" s="1368"/>
      <c r="Q36" s="1368"/>
      <c r="S36" s="2250" t="s">
        <v>425</v>
      </c>
      <c r="T36" s="2250"/>
      <c r="U36" s="1372"/>
      <c r="V36" s="2264" t="str">
        <f>IF(TITLE_DATE_PR_CHANGE="",IF(TITLE_DATE_PR="","",TITLE_DATE_PR),TITLE_DATE_PR_CHANGE)</f>
        <v/>
      </c>
      <c r="W36" s="2264"/>
      <c r="X36" s="2264"/>
      <c r="Y36" s="2264"/>
      <c r="Z36" s="2264"/>
      <c r="AA36" s="2264"/>
      <c r="AB36" s="2264"/>
      <c r="AC36" s="326"/>
      <c r="AD36" s="2264" t="str">
        <f>IF(TITLE_DATE_PR_CHANGE="",IF(TITLE_DATE_PR="","",TITLE_DATE_PR),TITLE_DATE_PR_CHANGE)</f>
        <v/>
      </c>
      <c r="AE36" s="2264"/>
      <c r="AF36" s="2264"/>
      <c r="AG36" s="2264"/>
      <c r="AH36" s="2264"/>
      <c r="AI36" s="2264"/>
      <c r="AJ36" s="2264"/>
      <c r="AK36" s="2264"/>
      <c r="AL36" s="2264"/>
      <c r="AM36" s="2264"/>
      <c r="AN36" s="2264"/>
      <c r="AO36" s="2264"/>
      <c r="AP36" s="2264"/>
      <c r="AQ36" s="2264"/>
      <c r="AR36" s="2264"/>
      <c r="AS36" s="2264"/>
      <c r="AT36" s="2264"/>
      <c r="AU36" s="2264"/>
      <c r="AV36" s="2264"/>
      <c r="AW36" s="2264"/>
      <c r="AX36" s="2264"/>
      <c r="AY36" s="2264"/>
      <c r="AZ36" s="2264"/>
      <c r="BA36" s="326"/>
      <c r="BB36" s="326"/>
      <c r="BC36" s="280"/>
      <c r="BD36" s="368"/>
      <c r="BE36" s="368"/>
      <c r="BF36" s="368"/>
      <c r="BG36" s="368"/>
      <c r="BH36" s="368"/>
      <c r="BI36" s="418">
        <v>0</v>
      </c>
    </row>
    <row s="1853" customFormat="1" customHeight="1" ht="18.75" hidden="1">
      <c r="A37" s="1368"/>
      <c r="B37" s="1368"/>
      <c r="C37" s="1368"/>
      <c r="D37" s="1368"/>
      <c r="E37" s="1368"/>
      <c r="F37" s="1368"/>
      <c r="G37" s="1368"/>
      <c r="H37" s="1368"/>
      <c r="I37" s="1368"/>
      <c r="J37" s="1368"/>
      <c r="K37" s="1368"/>
      <c r="L37" s="1369"/>
      <c r="M37" s="1368"/>
      <c r="N37" s="1368"/>
      <c r="O37" s="1368"/>
      <c r="P37" s="1368"/>
      <c r="Q37" s="1368"/>
      <c r="S37" s="2250" t="s">
        <v>426</v>
      </c>
      <c r="T37" s="2250"/>
      <c r="U37" s="1372"/>
      <c r="V37" s="2251" t="str">
        <f>IF(TITLE_NUMBER_PR_CHANGE="",IF(TITLE_NUMBER_PR="","",TITLE_NUMBER_PR),TITLE_NUMBER_PR_CHANGE)</f>
        <v/>
      </c>
      <c r="W37" s="2251"/>
      <c r="X37" s="2251"/>
      <c r="Y37" s="2251"/>
      <c r="Z37" s="2251"/>
      <c r="AA37" s="2251"/>
      <c r="AB37" s="2251"/>
      <c r="AC37" s="326"/>
      <c r="AD37" s="2251" t="str">
        <f>IF(TITLE_NUMBER_PR_CHANGE="",IF(TITLE_NUMBER_PR="","",TITLE_NUMBER_PR),TITLE_NUMBER_PR_CHANGE)</f>
        <v/>
      </c>
      <c r="AE37" s="2251"/>
      <c r="AF37" s="2251"/>
      <c r="AG37" s="2251"/>
      <c r="AH37" s="2251"/>
      <c r="AI37" s="2251"/>
      <c r="AJ37" s="2251"/>
      <c r="AK37" s="2251"/>
      <c r="AL37" s="2251"/>
      <c r="AM37" s="2251"/>
      <c r="AN37" s="2251"/>
      <c r="AO37" s="2251"/>
      <c r="AP37" s="2251"/>
      <c r="AQ37" s="2251"/>
      <c r="AR37" s="2251"/>
      <c r="AS37" s="2251"/>
      <c r="AT37" s="2251"/>
      <c r="AU37" s="2251"/>
      <c r="AV37" s="2251"/>
      <c r="AW37" s="2251"/>
      <c r="AX37" s="2251"/>
      <c r="AY37" s="2251"/>
      <c r="AZ37" s="2251"/>
      <c r="BA37" s="326"/>
      <c r="BB37" s="326"/>
      <c r="BC37" s="280"/>
      <c r="BD37" s="368"/>
      <c r="BE37" s="368"/>
      <c r="BF37" s="368"/>
      <c r="BG37" s="368"/>
      <c r="BH37" s="368"/>
      <c r="BI37" s="418">
        <v>0</v>
      </c>
    </row>
    <row s="1853" customFormat="1" customHeight="1" ht="0">
      <c r="A38" s="1368"/>
      <c r="B38" s="1368"/>
      <c r="C38" s="1368"/>
      <c r="D38" s="1368"/>
      <c r="E38" s="1368"/>
      <c r="F38" s="1368"/>
      <c r="G38" s="1368"/>
      <c r="H38" s="1368"/>
      <c r="I38" s="1368"/>
      <c r="J38" s="1368"/>
      <c r="K38" s="1368"/>
      <c r="L38" s="1369"/>
      <c r="M38" s="1368"/>
      <c r="N38" s="1368"/>
      <c r="O38" s="1368"/>
      <c r="P38" s="1368"/>
      <c r="Q38" s="1368"/>
      <c r="S38" s="323"/>
      <c r="T38" s="323"/>
      <c r="U38" s="1454"/>
      <c r="V38" s="326"/>
      <c r="W38" s="326"/>
      <c r="X38" s="326"/>
      <c r="Y38" s="326"/>
      <c r="Z38" s="326"/>
      <c r="AA38" s="326"/>
      <c r="AB38" s="326"/>
      <c r="AC38" s="278" t="s">
        <v>429</v>
      </c>
      <c r="AD38" s="326"/>
      <c r="AE38" s="326"/>
      <c r="AF38" s="326"/>
      <c r="AG38" s="326"/>
      <c r="AH38" s="326"/>
      <c r="AI38" s="326"/>
      <c r="AJ38" s="326"/>
      <c r="AK38" s="326"/>
      <c r="AL38" s="326"/>
      <c r="AM38" s="326"/>
      <c r="AN38" s="326"/>
      <c r="AO38" s="326"/>
      <c r="AP38" s="326"/>
      <c r="AQ38" s="326"/>
      <c r="AR38" s="326"/>
      <c r="AS38" s="326"/>
      <c r="AT38" s="326"/>
      <c r="AU38" s="326"/>
      <c r="AV38" s="326"/>
      <c r="AW38" s="326"/>
      <c r="AX38" s="326"/>
      <c r="AY38" s="326"/>
      <c r="AZ38" s="326"/>
      <c r="BA38" s="278" t="s">
        <v>429</v>
      </c>
      <c r="BD38" s="368"/>
      <c r="BE38" s="368"/>
      <c r="BF38" s="368"/>
      <c r="BG38" s="368"/>
      <c r="BH38" s="368"/>
      <c r="BI38" s="418">
        <v>0</v>
      </c>
    </row>
    <row customHeight="1" ht="14.699999999999998">
      <c r="Q39" s="291"/>
      <c r="R39" s="376"/>
      <c r="S39" s="1275"/>
      <c r="T39" s="363"/>
      <c r="U39" s="1244"/>
      <c r="V39" s="2252"/>
      <c r="W39" s="2252"/>
      <c r="X39" s="2252"/>
      <c r="Y39" s="2252"/>
      <c r="Z39" s="2252"/>
      <c r="AA39" s="2252"/>
      <c r="AB39" s="2252"/>
      <c r="AC39" s="2252"/>
      <c r="AD39" s="2252"/>
      <c r="AE39" s="2252"/>
      <c r="AF39" s="2252"/>
      <c r="AG39" s="2252"/>
      <c r="AH39" s="2252"/>
      <c r="AI39" s="2252"/>
      <c r="AJ39" s="2252"/>
      <c r="AK39" s="2252"/>
      <c r="AL39" s="2252"/>
      <c r="AM39" s="2252"/>
      <c r="AN39" s="2252"/>
      <c r="AO39" s="2252"/>
      <c r="AP39" s="2252"/>
      <c r="AQ39" s="2252"/>
      <c r="AR39" s="2252"/>
      <c r="AS39" s="2252"/>
      <c r="AT39" s="2252"/>
      <c r="AU39" s="2252"/>
      <c r="AV39" s="2252"/>
      <c r="AW39" s="2252"/>
      <c r="AX39" s="2252"/>
      <c r="AY39" s="2252"/>
      <c r="AZ39" s="2252"/>
      <c r="BA39" s="2252"/>
      <c r="BI39" s="1155">
        <v>14</v>
      </c>
    </row>
    <row customHeight="1" ht="14.699999999999998">
      <c r="Q40" s="291"/>
      <c r="R40" s="376"/>
      <c r="S40" s="2127" t="s">
        <v>302</v>
      </c>
      <c r="T40" s="2127"/>
      <c r="U40" s="2127"/>
      <c r="V40" s="2127"/>
      <c r="W40" s="2127"/>
      <c r="X40" s="2127"/>
      <c r="Y40" s="2127"/>
      <c r="Z40" s="2127"/>
      <c r="AA40" s="2127"/>
      <c r="AB40" s="2127"/>
      <c r="AC40" s="2127"/>
      <c r="AD40" s="2127"/>
      <c r="AE40" s="2127"/>
      <c r="AF40" s="2127"/>
      <c r="AG40" s="2127"/>
      <c r="AH40" s="2127"/>
      <c r="AI40" s="2127"/>
      <c r="AJ40" s="2127"/>
      <c r="AK40" s="2127"/>
      <c r="AL40" s="2127"/>
      <c r="AM40" s="2127"/>
      <c r="AN40" s="2127"/>
      <c r="AO40" s="2127"/>
      <c r="AP40" s="2127"/>
      <c r="AQ40" s="2127"/>
      <c r="AR40" s="2127"/>
      <c r="AS40" s="2127"/>
      <c r="AT40" s="2127"/>
      <c r="AU40" s="2127"/>
      <c r="AV40" s="2127"/>
      <c r="AW40" s="2127"/>
      <c r="AX40" s="2127"/>
      <c r="AY40" s="2127"/>
      <c r="AZ40" s="2127"/>
      <c r="BA40" s="2127"/>
      <c r="BB40" s="2127"/>
      <c r="BC40" s="2127" t="s">
        <v>303</v>
      </c>
      <c r="BI40" s="1155">
        <v>14</v>
      </c>
    </row>
    <row customHeight="1" ht="14.699999999999998">
      <c r="Q41" s="291"/>
      <c r="R41" s="376"/>
      <c r="S41" s="2273" t="s">
        <v>88</v>
      </c>
      <c r="T41" s="2209" t="s">
        <v>509</v>
      </c>
      <c r="U41" s="301"/>
      <c r="V41" s="2274" t="s">
        <v>431</v>
      </c>
      <c r="W41" s="2275"/>
      <c r="X41" s="2275"/>
      <c r="Y41" s="2275"/>
      <c r="Z41" s="2275"/>
      <c r="AA41" s="2275"/>
      <c r="AB41" s="2276"/>
      <c r="AC41" s="2277" t="s">
        <v>432</v>
      </c>
      <c r="AD41" s="2328" t="s">
        <v>510</v>
      </c>
      <c r="AE41" s="2291"/>
      <c r="AF41" s="2291"/>
      <c r="AG41" s="2329"/>
      <c r="AH41" s="2328" t="s">
        <v>511</v>
      </c>
      <c r="AI41" s="2291"/>
      <c r="AJ41" s="2291"/>
      <c r="AK41" s="2329"/>
      <c r="AL41" s="2328" t="s">
        <v>512</v>
      </c>
      <c r="AM41" s="2291"/>
      <c r="AN41" s="2291"/>
      <c r="AO41" s="2329"/>
      <c r="AP41" s="2328" t="s">
        <v>513</v>
      </c>
      <c r="AQ41" s="2291"/>
      <c r="AR41" s="2291"/>
      <c r="AS41" s="2329"/>
      <c r="AT41" s="2274" t="s">
        <v>431</v>
      </c>
      <c r="AU41" s="2275"/>
      <c r="AV41" s="2275"/>
      <c r="AW41" s="2275"/>
      <c r="AX41" s="2275"/>
      <c r="AY41" s="2275"/>
      <c r="AZ41" s="2276"/>
      <c r="BA41" s="2277" t="s">
        <v>432</v>
      </c>
      <c r="BB41" s="2280" t="s">
        <v>434</v>
      </c>
      <c r="BC41" s="2127"/>
      <c r="BI41" s="1155">
        <v>14</v>
      </c>
    </row>
    <row customHeight="1" ht="35.699999999999996">
      <c r="Q42" s="291"/>
      <c r="R42" s="376"/>
      <c r="S42" s="2273"/>
      <c r="T42" s="2209"/>
      <c r="U42" s="1031"/>
      <c r="V42" s="2192" t="s">
        <v>514</v>
      </c>
      <c r="W42" s="2193"/>
      <c r="X42" s="2192" t="s">
        <v>515</v>
      </c>
      <c r="Y42" s="2193"/>
      <c r="Z42" s="2294" t="s">
        <v>516</v>
      </c>
      <c r="AA42" s="2313"/>
      <c r="AB42" s="2314"/>
      <c r="AC42" s="2278"/>
      <c r="AD42" s="2330"/>
      <c r="AE42" s="2331"/>
      <c r="AF42" s="2331"/>
      <c r="AG42" s="2332"/>
      <c r="AH42" s="2330"/>
      <c r="AI42" s="2331"/>
      <c r="AJ42" s="2331"/>
      <c r="AK42" s="2332"/>
      <c r="AL42" s="2330"/>
      <c r="AM42" s="2331"/>
      <c r="AN42" s="2331"/>
      <c r="AO42" s="2332"/>
      <c r="AP42" s="2330"/>
      <c r="AQ42" s="2331"/>
      <c r="AR42" s="2331"/>
      <c r="AS42" s="2332"/>
      <c r="AT42" s="2192" t="s">
        <v>514</v>
      </c>
      <c r="AU42" s="2193"/>
      <c r="AV42" s="2192" t="s">
        <v>515</v>
      </c>
      <c r="AW42" s="2193"/>
      <c r="AX42" s="2294" t="s">
        <v>516</v>
      </c>
      <c r="AY42" s="2313"/>
      <c r="AZ42" s="2314"/>
      <c r="BA42" s="2278"/>
      <c r="BB42" s="2281"/>
      <c r="BC42" s="2127"/>
      <c r="BI42" s="1155">
        <v>34</v>
      </c>
    </row>
    <row customHeight="1" ht="14.699999999999998">
      <c r="Q43" s="291"/>
      <c r="R43" s="376"/>
      <c r="S43" s="2273"/>
      <c r="T43" s="2209"/>
      <c r="U43" s="1031"/>
      <c r="V43" s="2200"/>
      <c r="W43" s="2201"/>
      <c r="X43" s="2200"/>
      <c r="Y43" s="2201"/>
      <c r="Z43" s="2295"/>
      <c r="AA43" s="2315"/>
      <c r="AB43" s="2316"/>
      <c r="AC43" s="2278"/>
      <c r="AD43" s="2330"/>
      <c r="AE43" s="2331"/>
      <c r="AF43" s="2331"/>
      <c r="AG43" s="2332"/>
      <c r="AH43" s="2330"/>
      <c r="AI43" s="2331"/>
      <c r="AJ43" s="2331"/>
      <c r="AK43" s="2332"/>
      <c r="AL43" s="2330"/>
      <c r="AM43" s="2331"/>
      <c r="AN43" s="2331"/>
      <c r="AO43" s="2332"/>
      <c r="AP43" s="2330"/>
      <c r="AQ43" s="2331"/>
      <c r="AR43" s="2331"/>
      <c r="AS43" s="2332"/>
      <c r="AT43" s="2200"/>
      <c r="AU43" s="2201"/>
      <c r="AV43" s="2200"/>
      <c r="AW43" s="2201"/>
      <c r="AX43" s="2295"/>
      <c r="AY43" s="2315"/>
      <c r="AZ43" s="2316"/>
      <c r="BA43" s="2278"/>
      <c r="BB43" s="2281"/>
      <c r="BC43" s="2127"/>
      <c r="BI43" s="1155">
        <v>14</v>
      </c>
    </row>
    <row customHeight="1" ht="14.699999999999998">
      <c r="A44" s="1370"/>
      <c r="B44" s="1370" t="s">
        <v>139</v>
      </c>
      <c r="C44" s="1370" t="s">
        <v>140</v>
      </c>
      <c r="D44" s="1370" t="s">
        <v>141</v>
      </c>
      <c r="E44" s="1364" t="s">
        <v>439</v>
      </c>
      <c r="F44" s="1364" t="s">
        <v>440</v>
      </c>
      <c r="G44" s="1364" t="s">
        <v>441</v>
      </c>
      <c r="H44" s="1364" t="s">
        <v>442</v>
      </c>
      <c r="I44" s="1364" t="s">
        <v>443</v>
      </c>
      <c r="J44" s="1364" t="s">
        <v>444</v>
      </c>
      <c r="K44" s="1364" t="s">
        <v>445</v>
      </c>
      <c r="L44" s="1364" t="s">
        <v>420</v>
      </c>
      <c r="Q44" s="291"/>
      <c r="R44" s="376"/>
      <c r="S44" s="2273"/>
      <c r="T44" s="2209"/>
      <c r="U44" s="302"/>
      <c r="V44" s="1448" t="s">
        <v>480</v>
      </c>
      <c r="W44" s="1448" t="s">
        <v>481</v>
      </c>
      <c r="X44" s="1448" t="s">
        <v>480</v>
      </c>
      <c r="Y44" s="1448" t="s">
        <v>481</v>
      </c>
      <c r="Z44" s="1455" t="s">
        <v>448</v>
      </c>
      <c r="AA44" s="2270" t="s">
        <v>449</v>
      </c>
      <c r="AB44" s="2271"/>
      <c r="AC44" s="2279"/>
      <c r="AD44" s="2333"/>
      <c r="AE44" s="2334"/>
      <c r="AF44" s="2334"/>
      <c r="AG44" s="2335"/>
      <c r="AH44" s="2333"/>
      <c r="AI44" s="2334"/>
      <c r="AJ44" s="2334"/>
      <c r="AK44" s="2335"/>
      <c r="AL44" s="2333"/>
      <c r="AM44" s="2334"/>
      <c r="AN44" s="2334"/>
      <c r="AO44" s="2335"/>
      <c r="AP44" s="2333"/>
      <c r="AQ44" s="2334"/>
      <c r="AR44" s="2334"/>
      <c r="AS44" s="2335"/>
      <c r="AT44" s="1448" t="s">
        <v>480</v>
      </c>
      <c r="AU44" s="1448" t="s">
        <v>481</v>
      </c>
      <c r="AV44" s="1448" t="s">
        <v>480</v>
      </c>
      <c r="AW44" s="1448" t="s">
        <v>481</v>
      </c>
      <c r="AX44" s="1455" t="s">
        <v>448</v>
      </c>
      <c r="AY44" s="2270" t="s">
        <v>449</v>
      </c>
      <c r="AZ44" s="2271"/>
      <c r="BA44" s="2279"/>
      <c r="BB44" s="2282"/>
      <c r="BC44" s="2127"/>
      <c r="BI44" s="1155">
        <v>14</v>
      </c>
    </row>
    <row s="1641" customFormat="1" customHeight="1" ht="11.25" hidden="1">
      <c r="A45" s="1370"/>
      <c r="B45" s="1370"/>
      <c r="C45" s="1370"/>
      <c r="D45" s="1370"/>
      <c r="E45" s="1370"/>
      <c r="F45" s="1370"/>
      <c r="G45" s="1370"/>
      <c r="H45" s="1370"/>
      <c r="I45" s="1370"/>
      <c r="J45" s="1370"/>
      <c r="K45" s="1370"/>
      <c r="L45" s="1364"/>
      <c r="M45" s="1362"/>
      <c r="N45" s="1362"/>
      <c r="O45" s="1362"/>
      <c r="P45" s="510"/>
      <c r="Q45" s="1254"/>
      <c r="R45" s="1254">
        <v>1</v>
      </c>
      <c r="S45" s="1277" t="s">
        <v>109</v>
      </c>
      <c r="T45" s="1255" t="s">
        <v>110</v>
      </c>
      <c r="U45" s="1245" t="str">
        <f>OFFSET(U45,0,-1)</f>
        <v>2</v>
      </c>
      <c r="V45" s="1451">
        <f>OFFSET(V45,0,-1)+1</f>
        <v>3</v>
      </c>
      <c r="W45" s="1451">
        <f>OFFSET(W45,0,-1)+1</f>
        <v>4</v>
      </c>
      <c r="X45" s="1451">
        <f>OFFSET(X45,0,-1)+1</f>
        <v>5</v>
      </c>
      <c r="Y45" s="1451">
        <f>OFFSET(Y45,0,-1)+1</f>
        <v>6</v>
      </c>
      <c r="Z45" s="1451">
        <f>OFFSET(Z45,0,-1)+1</f>
        <v>7</v>
      </c>
      <c r="AA45" s="2272">
        <f>OFFSET(AA45,0,-1)+1</f>
        <v>8</v>
      </c>
      <c r="AB45" s="2272"/>
      <c r="AC45" s="1451">
        <f>OFFSET(AC45,0,-2)+1</f>
        <v>9</v>
      </c>
      <c r="AD45" s="1451">
        <f>OFFSET(AD45,0,-1)+1</f>
        <v>10</v>
      </c>
      <c r="AE45" s="1451"/>
      <c r="AF45" s="1451"/>
      <c r="AG45" s="1451"/>
      <c r="AH45" s="1451"/>
      <c r="AI45" s="1451"/>
      <c r="AJ45" s="1451"/>
      <c r="AK45" s="1451"/>
      <c r="AL45" s="1451"/>
      <c r="AM45" s="1451"/>
      <c r="AN45" s="1451"/>
      <c r="AO45" s="1451"/>
      <c r="AP45" s="1451"/>
      <c r="AQ45" s="1451"/>
      <c r="AR45" s="1451"/>
      <c r="AS45" s="1451"/>
      <c r="AT45" s="1451"/>
      <c r="AU45" s="1451"/>
      <c r="AV45" s="1451"/>
      <c r="AW45" s="1451">
        <f>OFFSET(AW45,0,-1)+1</f>
        <v>1</v>
      </c>
      <c r="AX45" s="1451">
        <f>OFFSET(AX45,0,-1)+1</f>
        <v>2</v>
      </c>
      <c r="AY45" s="2272">
        <f>OFFSET(AY45,0,-1)+1</f>
        <v>3</v>
      </c>
      <c r="AZ45" s="2272"/>
      <c r="BA45" s="1451">
        <f>OFFSET(BA45,0,-2)+1</f>
        <v>4</v>
      </c>
      <c r="BB45" s="1245">
        <f>OFFSET(BB45,0,-1)</f>
        <v>4</v>
      </c>
      <c r="BC45" s="1451">
        <f>OFFSET(BC45,0,-1)+1</f>
        <v>5</v>
      </c>
      <c r="BD45" s="511"/>
      <c r="BE45" s="511"/>
      <c r="BF45" s="511"/>
      <c r="BG45" s="511"/>
      <c r="BH45" s="511"/>
      <c r="BI45" s="496">
        <v>0</v>
      </c>
    </row>
    <row customHeight="1" ht="22.049999999999997">
      <c r="A46" s="1363" t="s">
        <v>248</v>
      </c>
      <c r="B46" s="1363"/>
      <c r="C46" s="1363"/>
      <c r="D46" s="1363"/>
      <c r="E46" s="2258">
        <v>1</v>
      </c>
      <c r="F46" s="1363"/>
      <c r="G46" s="1363"/>
      <c r="H46" s="1363"/>
      <c r="I46" s="1363"/>
      <c r="J46" s="1363"/>
      <c r="K46" s="1363"/>
      <c r="L46" s="1364"/>
      <c r="M46" s="1365"/>
      <c r="N46" s="1365"/>
      <c r="O46" s="1365"/>
      <c r="P46" s="1409"/>
      <c r="Q46" s="873"/>
      <c r="R46" s="355"/>
      <c r="S46" s="1457">
        <f>INDEX(PT_DIFFERENTIATION_NUM_NTAR,MATCH(A46,PT_DIFFERENTIATION_NTAR_ID,0))</f>
        <v>0</v>
      </c>
      <c r="T46" s="298" t="s">
        <v>127</v>
      </c>
      <c r="U46" s="300"/>
      <c r="V46" s="2243"/>
      <c r="W46" s="2243"/>
      <c r="X46" s="2243"/>
      <c r="Y46" s="2243"/>
      <c r="Z46" s="2243"/>
      <c r="AA46" s="2243"/>
      <c r="AB46" s="2243"/>
      <c r="AC46" s="2244"/>
      <c r="AD46" s="2242" t="str">
        <f>INDEX(PT_DIFFERENTIATION_NTAR,MATCH(A46,PT_DIFFERENTIATION_NTAR_ID,0))</f>
        <v/>
      </c>
      <c r="AE46" s="2243"/>
      <c r="AF46" s="2243"/>
      <c r="AG46" s="2243"/>
      <c r="AH46" s="2243"/>
      <c r="AI46" s="2243"/>
      <c r="AJ46" s="2243"/>
      <c r="AK46" s="2243"/>
      <c r="AL46" s="2243"/>
      <c r="AM46" s="2243"/>
      <c r="AN46" s="2243"/>
      <c r="AO46" s="2243"/>
      <c r="AP46" s="2243"/>
      <c r="AQ46" s="2243"/>
      <c r="AR46" s="2243"/>
      <c r="AS46" s="2243"/>
      <c r="AT46" s="2243"/>
      <c r="AU46" s="2243"/>
      <c r="AV46" s="2243"/>
      <c r="AW46" s="2243"/>
      <c r="AX46" s="2243"/>
      <c r="AY46" s="2243"/>
      <c r="AZ46" s="2243"/>
      <c r="BA46" s="2243"/>
      <c r="BB46" s="2244"/>
      <c r="BC46"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46" s="500"/>
      <c r="BF46" s="500" t="str">
        <f>IF(T46="","",T46)</f>
        <v>Наименование тарифа</v>
      </c>
      <c r="BG46" s="500"/>
      <c r="BH46" s="500"/>
      <c r="BI46" s="1155">
        <v>21</v>
      </c>
    </row>
    <row customHeight="1" ht="22.049999999999997">
      <c r="A47" s="1363" t="s">
        <v>248</v>
      </c>
      <c r="B47" s="1363" t="s">
        <v>249</v>
      </c>
      <c r="C47" s="1363"/>
      <c r="D47" s="1363"/>
      <c r="E47" s="2259"/>
      <c r="F47" s="2258">
        <v>1</v>
      </c>
      <c r="G47" s="1363"/>
      <c r="H47" s="1363"/>
      <c r="I47" s="1363"/>
      <c r="J47" s="1363"/>
      <c r="K47" s="1363"/>
      <c r="L47" s="1364"/>
      <c r="M47" s="1365"/>
      <c r="N47" s="1365"/>
      <c r="O47" s="1365"/>
      <c r="P47" s="1410"/>
      <c r="Q47" s="1411"/>
      <c r="R47" s="353"/>
      <c r="S47" s="1457" t="str">
        <f>INDEX(PT_DIFFERENTIATION_NUM_TER,MATCH(B47,PT_DIFFERENTIATION_TER_ID,0))</f>
        <v>.</v>
      </c>
      <c r="T47" s="308" t="s">
        <v>399</v>
      </c>
      <c r="U47" s="300"/>
      <c r="V47" s="2243"/>
      <c r="W47" s="2243"/>
      <c r="X47" s="2243"/>
      <c r="Y47" s="2243"/>
      <c r="Z47" s="2243"/>
      <c r="AA47" s="2243"/>
      <c r="AB47" s="2243"/>
      <c r="AC47" s="2244"/>
      <c r="AD47" s="2242" t="str">
        <f>INDEX(PT_DIFFERENTIATION_TER,MATCH(B47,PT_DIFFERENTIATION_TER_ID,0))</f>
        <v/>
      </c>
      <c r="AE47" s="2243"/>
      <c r="AF47" s="2243"/>
      <c r="AG47" s="2243"/>
      <c r="AH47" s="2243"/>
      <c r="AI47" s="2243"/>
      <c r="AJ47" s="2243"/>
      <c r="AK47" s="2243"/>
      <c r="AL47" s="2243"/>
      <c r="AM47" s="2243"/>
      <c r="AN47" s="2243"/>
      <c r="AO47" s="2243"/>
      <c r="AP47" s="2243"/>
      <c r="AQ47" s="2243"/>
      <c r="AR47" s="2243"/>
      <c r="AS47" s="2243"/>
      <c r="AT47" s="2243"/>
      <c r="AU47" s="2243"/>
      <c r="AV47" s="2243"/>
      <c r="AW47" s="2243"/>
      <c r="AX47" s="2243"/>
      <c r="AY47" s="2243"/>
      <c r="AZ47" s="2243"/>
      <c r="BA47" s="2243"/>
      <c r="BB47" s="2244"/>
      <c r="BC47" s="1258" t="s">
        <v>400</v>
      </c>
      <c r="BE47" s="500"/>
      <c r="BF47" s="500" t="str">
        <f>IF(T47="","",T47)</f>
        <v>Территория действия тарифа</v>
      </c>
      <c r="BG47" s="500"/>
      <c r="BH47" s="500"/>
      <c r="BI47" s="1155">
        <v>21</v>
      </c>
    </row>
    <row customHeight="1" ht="43.050000000000004">
      <c r="A48" s="1363" t="s">
        <v>248</v>
      </c>
      <c r="B48" s="1363" t="s">
        <v>249</v>
      </c>
      <c r="C48" s="1363" t="s">
        <v>250</v>
      </c>
      <c r="D48" s="1363"/>
      <c r="E48" s="2259"/>
      <c r="F48" s="2259"/>
      <c r="G48" s="2258">
        <v>1</v>
      </c>
      <c r="H48" s="1363"/>
      <c r="I48" s="1363"/>
      <c r="J48" s="1363"/>
      <c r="K48" s="1363"/>
      <c r="L48" s="1364"/>
      <c r="M48" s="1365"/>
      <c r="N48" s="1365"/>
      <c r="O48" s="1365"/>
      <c r="P48" s="1412"/>
      <c r="Q48" s="1411"/>
      <c r="R48" s="353"/>
      <c r="S48" s="1457" t="str">
        <f>INDEX(PT_DIFFERENTIATION_NUM_CS,MATCH(C48,PT_DIFFERENTIATION_CS_ID,0))</f>
        <v>..</v>
      </c>
      <c r="T48" s="309" t="s">
        <v>483</v>
      </c>
      <c r="U48" s="300"/>
      <c r="V48" s="2243"/>
      <c r="W48" s="2243"/>
      <c r="X48" s="2243"/>
      <c r="Y48" s="2243"/>
      <c r="Z48" s="2243"/>
      <c r="AA48" s="2243"/>
      <c r="AB48" s="2243"/>
      <c r="AC48" s="2244"/>
      <c r="AD48" s="2242" t="str">
        <f>INDEX(PT_DIFFERENTIATION_CS,MATCH(C48,PT_DIFFERENTIATION_CS_ID,0))</f>
        <v/>
      </c>
      <c r="AE48" s="2243"/>
      <c r="AF48" s="2243"/>
      <c r="AG48" s="2243"/>
      <c r="AH48" s="2243"/>
      <c r="AI48" s="2243"/>
      <c r="AJ48" s="2243"/>
      <c r="AK48" s="2243"/>
      <c r="AL48" s="2243"/>
      <c r="AM48" s="2243"/>
      <c r="AN48" s="2243"/>
      <c r="AO48" s="2243"/>
      <c r="AP48" s="2243"/>
      <c r="AQ48" s="2243"/>
      <c r="AR48" s="2243"/>
      <c r="AS48" s="2243"/>
      <c r="AT48" s="2243"/>
      <c r="AU48" s="2243"/>
      <c r="AV48" s="2243"/>
      <c r="AW48" s="2243"/>
      <c r="AX48" s="2243"/>
      <c r="AY48" s="2243"/>
      <c r="AZ48" s="2243"/>
      <c r="BA48" s="2243"/>
      <c r="BB48" s="2244"/>
      <c r="BC48" s="1258" t="s">
        <v>484</v>
      </c>
      <c r="BE48" s="500"/>
      <c r="BF48" s="500" t="str">
        <f>IF(T48="","",T48)</f>
        <v>Наименование централизованной системы холодного водоснабжения</v>
      </c>
      <c r="BG48" s="500"/>
      <c r="BH48" s="500"/>
      <c r="BI48" s="1155">
        <v>41</v>
      </c>
    </row>
    <row s="1642" customFormat="1" customHeight="1" ht="0">
      <c r="A49" s="1343" t="s">
        <v>248</v>
      </c>
      <c r="B49" s="1343" t="s">
        <v>249</v>
      </c>
      <c r="C49" s="1343" t="s">
        <v>250</v>
      </c>
      <c r="D49" s="1343" t="s">
        <v>517</v>
      </c>
      <c r="E49" s="2259"/>
      <c r="F49" s="2259"/>
      <c r="G49" s="2259"/>
      <c r="H49" s="2258">
        <v>1</v>
      </c>
      <c r="I49" s="1343"/>
      <c r="J49" s="1343"/>
      <c r="K49" s="1343"/>
      <c r="L49" s="1346"/>
      <c r="M49" s="1315"/>
      <c r="N49" s="1315"/>
      <c r="O49" s="1315"/>
      <c r="P49" s="1497"/>
      <c r="Q49" s="1498"/>
      <c r="R49" s="357"/>
      <c r="S49" s="1042"/>
      <c r="T49" s="1499"/>
      <c r="U49" s="1384"/>
      <c r="V49" s="2297"/>
      <c r="W49" s="2297"/>
      <c r="X49" s="2297"/>
      <c r="Y49" s="2297"/>
      <c r="Z49" s="2297"/>
      <c r="AA49" s="2297"/>
      <c r="AB49" s="2297"/>
      <c r="AC49" s="2298"/>
      <c r="AD49" s="2296"/>
      <c r="AE49" s="2297"/>
      <c r="AF49" s="2297"/>
      <c r="AG49" s="2297"/>
      <c r="AH49" s="2297"/>
      <c r="AI49" s="2297"/>
      <c r="AJ49" s="2297"/>
      <c r="AK49" s="2297"/>
      <c r="AL49" s="2297"/>
      <c r="AM49" s="2297"/>
      <c r="AN49" s="2297"/>
      <c r="AO49" s="2297"/>
      <c r="AP49" s="2297"/>
      <c r="AQ49" s="2297"/>
      <c r="AR49" s="2297"/>
      <c r="AS49" s="2297"/>
      <c r="AT49" s="2297"/>
      <c r="AU49" s="2297"/>
      <c r="AV49" s="2297"/>
      <c r="AW49" s="2297"/>
      <c r="AX49" s="2297"/>
      <c r="AY49" s="2297"/>
      <c r="AZ49" s="2297"/>
      <c r="BA49" s="2297"/>
      <c r="BB49" s="2298"/>
      <c r="BC49" s="1385" t="s">
        <v>404</v>
      </c>
      <c r="BE49" s="500"/>
      <c r="BF49" s="500" t="str">
        <f>IF(T49="","",T49)</f>
        <v/>
      </c>
      <c r="BG49" s="500"/>
      <c r="BH49" s="500"/>
      <c r="BI49" s="511">
        <v>0</v>
      </c>
    </row>
    <row s="1642" customFormat="1" customHeight="1" ht="0">
      <c r="A50" s="1343" t="s">
        <v>248</v>
      </c>
      <c r="B50" s="1343" t="s">
        <v>249</v>
      </c>
      <c r="C50" s="1343" t="s">
        <v>250</v>
      </c>
      <c r="D50" s="1343" t="s">
        <v>517</v>
      </c>
      <c r="E50" s="2259"/>
      <c r="F50" s="2259"/>
      <c r="G50" s="2259"/>
      <c r="H50" s="2259"/>
      <c r="I50" s="2256" t="str">
        <f>S49&amp;".1"</f>
        <v>.1</v>
      </c>
      <c r="J50" s="1343"/>
      <c r="K50" s="1343"/>
      <c r="L50" s="1346" t="s">
        <v>405</v>
      </c>
      <c r="M50" s="510"/>
      <c r="N50" s="510"/>
      <c r="O50" s="510"/>
      <c r="P50" s="2257">
        <v>1</v>
      </c>
      <c r="Q50" s="1462"/>
      <c r="R50" s="356"/>
      <c r="S50" s="1042"/>
      <c r="T50" s="1383"/>
      <c r="U50" s="1384"/>
      <c r="V50" s="2297"/>
      <c r="W50" s="2297"/>
      <c r="X50" s="2297"/>
      <c r="Y50" s="2297"/>
      <c r="Z50" s="2297"/>
      <c r="AA50" s="2297"/>
      <c r="AB50" s="2297"/>
      <c r="AC50" s="2298"/>
      <c r="AD50" s="2296"/>
      <c r="AE50" s="2297"/>
      <c r="AF50" s="2297"/>
      <c r="AG50" s="2297"/>
      <c r="AH50" s="2297"/>
      <c r="AI50" s="2297"/>
      <c r="AJ50" s="2297"/>
      <c r="AK50" s="2297"/>
      <c r="AL50" s="2297"/>
      <c r="AM50" s="2297"/>
      <c r="AN50" s="2297"/>
      <c r="AO50" s="2297"/>
      <c r="AP50" s="2297"/>
      <c r="AQ50" s="2297"/>
      <c r="AR50" s="2297"/>
      <c r="AS50" s="2297"/>
      <c r="AT50" s="2297"/>
      <c r="AU50" s="2297"/>
      <c r="AV50" s="2297"/>
      <c r="AW50" s="2297"/>
      <c r="AX50" s="2297"/>
      <c r="AY50" s="2297"/>
      <c r="AZ50" s="2297"/>
      <c r="BA50" s="2297"/>
      <c r="BB50" s="2298"/>
      <c r="BC50" s="1385"/>
      <c r="BE50" s="500"/>
      <c r="BF50" s="500" t="str">
        <f>IF(T50="","",T50)</f>
        <v/>
      </c>
      <c r="BG50" s="500"/>
      <c r="BH50" s="500"/>
      <c r="BI50" s="511">
        <v>0</v>
      </c>
    </row>
    <row s="1642" customFormat="1" customHeight="1" ht="0">
      <c r="A51" s="1343" t="s">
        <v>248</v>
      </c>
      <c r="B51" s="1343" t="s">
        <v>249</v>
      </c>
      <c r="C51" s="1343" t="s">
        <v>250</v>
      </c>
      <c r="D51" s="1343" t="s">
        <v>517</v>
      </c>
      <c r="E51" s="2259"/>
      <c r="F51" s="2259"/>
      <c r="G51" s="2259"/>
      <c r="H51" s="2259"/>
      <c r="I51" s="2286"/>
      <c r="J51" s="2256" t="str">
        <f>S49&amp;".1"</f>
        <v>.1</v>
      </c>
      <c r="K51" s="1343"/>
      <c r="L51" s="1346"/>
      <c r="M51" s="510"/>
      <c r="N51" s="510"/>
      <c r="O51" s="510"/>
      <c r="P51" s="2257"/>
      <c r="Q51" s="2257">
        <v>1</v>
      </c>
      <c r="R51" s="357"/>
      <c r="S51" s="1042"/>
      <c r="T51" s="1399"/>
      <c r="U51" s="1384"/>
      <c r="V51" s="2297"/>
      <c r="W51" s="2297"/>
      <c r="X51" s="2297"/>
      <c r="Y51" s="2297"/>
      <c r="Z51" s="2297"/>
      <c r="AA51" s="2297"/>
      <c r="AB51" s="2297"/>
      <c r="AC51" s="2298"/>
      <c r="AD51" s="2296"/>
      <c r="AE51" s="2297"/>
      <c r="AF51" s="2297"/>
      <c r="AG51" s="2297"/>
      <c r="AH51" s="2297"/>
      <c r="AI51" s="2297"/>
      <c r="AJ51" s="2297"/>
      <c r="AK51" s="2297"/>
      <c r="AL51" s="2297"/>
      <c r="AM51" s="2297"/>
      <c r="AN51" s="2364"/>
      <c r="AO51" s="2364"/>
      <c r="AP51" s="2297"/>
      <c r="AQ51" s="2297"/>
      <c r="AR51" s="2297"/>
      <c r="AS51" s="2297"/>
      <c r="AT51" s="2297"/>
      <c r="AU51" s="2297"/>
      <c r="AV51" s="2297"/>
      <c r="AW51" s="2297"/>
      <c r="AX51" s="2297"/>
      <c r="AY51" s="2297"/>
      <c r="AZ51" s="2297"/>
      <c r="BA51" s="2297"/>
      <c r="BB51" s="2298"/>
      <c r="BC51" s="1385"/>
      <c r="BE51" s="500"/>
      <c r="BF51" s="500" t="str">
        <f>IF(T51="","",T51)</f>
        <v/>
      </c>
      <c r="BG51" s="500"/>
      <c r="BH51" s="500"/>
      <c r="BI51" s="511">
        <v>0</v>
      </c>
    </row>
    <row customHeight="1" ht="11.549999999999999">
      <c r="A52" s="1363" t="s">
        <v>248</v>
      </c>
      <c r="B52" s="1363" t="s">
        <v>249</v>
      </c>
      <c r="C52" s="1363" t="s">
        <v>250</v>
      </c>
      <c r="D52" s="1363" t="s">
        <v>517</v>
      </c>
      <c r="E52" s="2259"/>
      <c r="F52" s="2259"/>
      <c r="G52" s="2259"/>
      <c r="H52" s="2259"/>
      <c r="I52" s="2286"/>
      <c r="J52" s="2286"/>
      <c r="K52" s="2256" t="str">
        <f>S48&amp;".1"</f>
        <v>...1</v>
      </c>
      <c r="L52" s="1364"/>
      <c r="P52" s="2257"/>
      <c r="Q52" s="2257"/>
      <c r="R52" s="357">
        <v>1</v>
      </c>
      <c r="S52" s="2341" t="str">
        <f>$K52</f>
        <v>...1</v>
      </c>
      <c r="T52" s="2360"/>
      <c r="U52" s="300"/>
      <c r="V52" s="751"/>
      <c r="W52" s="1257"/>
      <c r="X52" s="751"/>
      <c r="Y52" s="1257"/>
      <c r="Z52" s="1734"/>
      <c r="AA52" s="1459" t="s">
        <v>66</v>
      </c>
      <c r="AB52" s="1734"/>
      <c r="AC52" s="1459" t="s">
        <v>66</v>
      </c>
      <c r="AD52" s="2185" t="s">
        <v>66</v>
      </c>
      <c r="AE52" s="2326"/>
      <c r="AF52" s="2205">
        <v>1</v>
      </c>
      <c r="AG52" s="2363"/>
      <c r="AH52" s="2107" t="s">
        <v>66</v>
      </c>
      <c r="AI52" s="2326"/>
      <c r="AJ52" s="2205">
        <v>1</v>
      </c>
      <c r="AK52" s="2327" t="s">
        <v>22</v>
      </c>
      <c r="AL52" s="2107" t="s">
        <v>66</v>
      </c>
      <c r="AM52" s="2192"/>
      <c r="AN52" s="2205">
        <v>1</v>
      </c>
      <c r="AO52" s="2357"/>
      <c r="AP52" s="2358" t="s">
        <v>66</v>
      </c>
      <c r="AQ52" s="311"/>
      <c r="AR52" s="1463">
        <v>1</v>
      </c>
      <c r="AS52" s="1466" t="s">
        <v>22</v>
      </c>
      <c r="AT52" s="751"/>
      <c r="AU52" s="1257"/>
      <c r="AV52" s="751"/>
      <c r="AW52" s="1257"/>
      <c r="AX52" s="1734"/>
      <c r="AY52" s="1459" t="s">
        <v>66</v>
      </c>
      <c r="AZ52" s="1734"/>
      <c r="BA52" s="1459" t="s">
        <v>66</v>
      </c>
      <c r="BB52" s="1348"/>
      <c r="BC52" s="2253" t="s">
        <v>503</v>
      </c>
      <c r="BE52" s="500"/>
      <c r="BF52" s="500" t="str">
        <f>IF(T52="","",T52)</f>
        <v/>
      </c>
      <c r="BG52" s="500"/>
      <c r="BH52" s="500"/>
      <c r="BI52" s="1155">
        <v>11</v>
      </c>
    </row>
    <row customHeight="1" ht="11.549999999999999">
      <c r="A53" s="1363"/>
      <c r="B53" s="1363"/>
      <c r="C53" s="1363"/>
      <c r="D53" s="1363"/>
      <c r="E53" s="2259"/>
      <c r="F53" s="2259"/>
      <c r="G53" s="2259"/>
      <c r="H53" s="2259"/>
      <c r="I53" s="2286"/>
      <c r="J53" s="2286"/>
      <c r="K53" s="2256"/>
      <c r="L53" s="1364"/>
      <c r="P53" s="2257"/>
      <c r="Q53" s="2257"/>
      <c r="R53" s="357"/>
      <c r="S53" s="2342"/>
      <c r="T53" s="2361"/>
      <c r="U53" s="300"/>
      <c r="V53" s="1393"/>
      <c r="W53" s="1496"/>
      <c r="X53" s="1393"/>
      <c r="Y53" s="1496"/>
      <c r="Z53" s="1393"/>
      <c r="AA53" s="1393"/>
      <c r="AB53" s="1393"/>
      <c r="AC53" s="1393"/>
      <c r="AD53" s="2186"/>
      <c r="AE53" s="2326"/>
      <c r="AF53" s="2205"/>
      <c r="AG53" s="2363"/>
      <c r="AH53" s="2107"/>
      <c r="AI53" s="2326"/>
      <c r="AJ53" s="2205"/>
      <c r="AK53" s="2327"/>
      <c r="AL53" s="2107"/>
      <c r="AM53" s="2200"/>
      <c r="AN53" s="2205"/>
      <c r="AO53" s="2357"/>
      <c r="AP53" s="2359"/>
      <c r="AQ53" s="316"/>
      <c r="AR53" s="416"/>
      <c r="AS53" s="416" t="s">
        <v>504</v>
      </c>
      <c r="AT53" s="1393"/>
      <c r="AU53" s="1496"/>
      <c r="AV53" s="1393"/>
      <c r="AW53" s="1496"/>
      <c r="AX53" s="1393"/>
      <c r="AY53" s="1393"/>
      <c r="AZ53" s="1393"/>
      <c r="BA53" s="1393"/>
      <c r="BB53" s="1397"/>
      <c r="BC53" s="2254"/>
      <c r="BE53" s="500"/>
      <c r="BF53" s="500"/>
      <c r="BG53" s="500"/>
      <c r="BH53" s="500"/>
      <c r="BI53" s="1155">
        <v>11</v>
      </c>
    </row>
    <row customHeight="1" ht="11.549999999999999">
      <c r="A54" s="1363" t="s">
        <v>248</v>
      </c>
      <c r="B54" s="1363"/>
      <c r="C54" s="1363"/>
      <c r="D54" s="1363"/>
      <c r="E54" s="2259"/>
      <c r="F54" s="2259"/>
      <c r="G54" s="2259"/>
      <c r="H54" s="2259"/>
      <c r="I54" s="2286"/>
      <c r="J54" s="2286"/>
      <c r="K54" s="2256"/>
      <c r="L54" s="1364"/>
      <c r="P54" s="2257"/>
      <c r="Q54" s="2257"/>
      <c r="R54" s="357"/>
      <c r="S54" s="2342"/>
      <c r="T54" s="2361"/>
      <c r="U54" s="300"/>
      <c r="V54" s="1393"/>
      <c r="W54" s="1496"/>
      <c r="X54" s="1393"/>
      <c r="Y54" s="1496"/>
      <c r="Z54" s="1393"/>
      <c r="AA54" s="1393"/>
      <c r="AB54" s="1393"/>
      <c r="AC54" s="1393"/>
      <c r="AD54" s="2186"/>
      <c r="AE54" s="2326"/>
      <c r="AF54" s="2205"/>
      <c r="AG54" s="2363"/>
      <c r="AH54" s="2107"/>
      <c r="AI54" s="2326"/>
      <c r="AJ54" s="2205"/>
      <c r="AK54" s="2327"/>
      <c r="AL54" s="2107"/>
      <c r="AM54" s="316"/>
      <c r="AN54" s="1500"/>
      <c r="AO54" s="1500" t="s">
        <v>505</v>
      </c>
      <c r="AP54" s="416"/>
      <c r="AQ54" s="416"/>
      <c r="AR54" s="416"/>
      <c r="AS54" s="1393"/>
      <c r="AT54" s="1393"/>
      <c r="AU54" s="1496"/>
      <c r="AV54" s="1393"/>
      <c r="AW54" s="1496"/>
      <c r="AX54" s="1393"/>
      <c r="AY54" s="1393"/>
      <c r="AZ54" s="1393"/>
      <c r="BA54" s="1393"/>
      <c r="BB54" s="1397"/>
      <c r="BC54" s="2254"/>
      <c r="BE54" s="500"/>
      <c r="BF54" s="500"/>
      <c r="BG54" s="500"/>
      <c r="BH54" s="500"/>
      <c r="BI54" s="1155">
        <v>11</v>
      </c>
    </row>
    <row customHeight="1" ht="11.549999999999999">
      <c r="A55" s="1363" t="s">
        <v>248</v>
      </c>
      <c r="B55" s="1363"/>
      <c r="C55" s="1363"/>
      <c r="D55" s="1363"/>
      <c r="E55" s="2259"/>
      <c r="F55" s="2259"/>
      <c r="G55" s="2259"/>
      <c r="H55" s="2259"/>
      <c r="I55" s="2286"/>
      <c r="J55" s="2286"/>
      <c r="K55" s="2256"/>
      <c r="L55" s="1364"/>
      <c r="P55" s="2257"/>
      <c r="Q55" s="2257"/>
      <c r="R55" s="357"/>
      <c r="S55" s="2342"/>
      <c r="T55" s="2361"/>
      <c r="U55" s="300"/>
      <c r="V55" s="1393"/>
      <c r="W55" s="1496"/>
      <c r="X55" s="1393"/>
      <c r="Y55" s="1496"/>
      <c r="Z55" s="1393"/>
      <c r="AA55" s="1393"/>
      <c r="AB55" s="1393"/>
      <c r="AC55" s="1393"/>
      <c r="AD55" s="2186"/>
      <c r="AE55" s="2326"/>
      <c r="AF55" s="2205"/>
      <c r="AG55" s="2363"/>
      <c r="AH55" s="2107"/>
      <c r="AI55" s="294"/>
      <c r="AJ55" s="415"/>
      <c r="AK55" s="313" t="s">
        <v>506</v>
      </c>
      <c r="AL55" s="1393"/>
      <c r="AM55" s="1393"/>
      <c r="AN55" s="1393"/>
      <c r="AO55" s="1393"/>
      <c r="AP55" s="1393"/>
      <c r="AQ55" s="1393"/>
      <c r="AR55" s="1393"/>
      <c r="AS55" s="1393"/>
      <c r="AT55" s="1393"/>
      <c r="AU55" s="1496"/>
      <c r="AV55" s="1393"/>
      <c r="AW55" s="1496"/>
      <c r="AX55" s="1393"/>
      <c r="AY55" s="1393"/>
      <c r="AZ55" s="1393"/>
      <c r="BA55" s="1393"/>
      <c r="BB55" s="1397"/>
      <c r="BC55" s="2254"/>
      <c r="BE55" s="500"/>
      <c r="BF55" s="500"/>
      <c r="BG55" s="500"/>
      <c r="BH55" s="500"/>
      <c r="BI55" s="1155">
        <v>11</v>
      </c>
    </row>
    <row customHeight="1" ht="11.549999999999999">
      <c r="A56" s="1363" t="s">
        <v>248</v>
      </c>
      <c r="B56" s="1363" t="s">
        <v>249</v>
      </c>
      <c r="C56" s="1363" t="s">
        <v>250</v>
      </c>
      <c r="D56" s="1363" t="s">
        <v>517</v>
      </c>
      <c r="E56" s="2259"/>
      <c r="F56" s="2259"/>
      <c r="G56" s="2259"/>
      <c r="H56" s="2259"/>
      <c r="I56" s="2286"/>
      <c r="J56" s="2286"/>
      <c r="K56" s="2256"/>
      <c r="L56" s="1364"/>
      <c r="P56" s="2257"/>
      <c r="Q56" s="2257"/>
      <c r="R56" s="357"/>
      <c r="S56" s="2343"/>
      <c r="T56" s="2362"/>
      <c r="U56" s="300"/>
      <c r="V56" s="1393"/>
      <c r="W56" s="1394" t="str">
        <f>Z52&amp;"-"&amp;AB52</f>
        <v>-</v>
      </c>
      <c r="X56" s="1393"/>
      <c r="Y56" s="1394" t="str">
        <f>AB52&amp;"-"&amp;AD52</f>
        <v>-да</v>
      </c>
      <c r="Z56" s="1393"/>
      <c r="AA56" s="1393"/>
      <c r="AB56" s="1393"/>
      <c r="AC56" s="1393"/>
      <c r="AD56" s="2112"/>
      <c r="AE56" s="312"/>
      <c r="AF56" s="314"/>
      <c r="AG56" s="416" t="s">
        <v>507</v>
      </c>
      <c r="AH56" s="1393"/>
      <c r="AI56" s="1393"/>
      <c r="AJ56" s="1393"/>
      <c r="AK56" s="1393"/>
      <c r="AL56" s="1393"/>
      <c r="AM56" s="1393"/>
      <c r="AN56" s="1393"/>
      <c r="AO56" s="1393"/>
      <c r="AP56" s="1393"/>
      <c r="AQ56" s="1393"/>
      <c r="AR56" s="1393"/>
      <c r="AS56" s="1393"/>
      <c r="AT56" s="1393"/>
      <c r="AU56" s="1394" t="str">
        <f>AX52&amp;"-"&amp;AZ52</f>
        <v>-</v>
      </c>
      <c r="AV56" s="1393"/>
      <c r="AW56" s="1394" t="str">
        <f>AZ52&amp;"-"&amp;BB52</f>
        <v>-</v>
      </c>
      <c r="AX56" s="1393"/>
      <c r="AY56" s="1393"/>
      <c r="AZ56" s="1393"/>
      <c r="BA56" s="1393"/>
      <c r="BB56" s="1396" t="str">
        <f>BE52&amp;"-"&amp;BG52</f>
        <v>-</v>
      </c>
      <c r="BC56" s="2254"/>
      <c r="BE56" s="500"/>
      <c r="BF56" s="500" t="str">
        <f>IF(T56="","",T56)</f>
        <v/>
      </c>
      <c r="BG56" s="500"/>
      <c r="BH56" s="500"/>
      <c r="BI56" s="1155">
        <v>11</v>
      </c>
    </row>
    <row customHeight="1" ht="11.549999999999999">
      <c r="A57" s="1363" t="s">
        <v>248</v>
      </c>
      <c r="B57" s="1363" t="s">
        <v>249</v>
      </c>
      <c r="C57" s="1363" t="s">
        <v>250</v>
      </c>
      <c r="D57" s="1363" t="s">
        <v>517</v>
      </c>
      <c r="E57" s="2259"/>
      <c r="F57" s="2259"/>
      <c r="G57" s="2259"/>
      <c r="H57" s="2259"/>
      <c r="I57" s="2286"/>
      <c r="J57" s="2256"/>
      <c r="K57" s="1363"/>
      <c r="L57" s="1364"/>
      <c r="P57" s="2257"/>
      <c r="Q57" s="2257"/>
      <c r="R57" s="356"/>
      <c r="S57" s="1278"/>
      <c r="T57" s="287" t="s">
        <v>470</v>
      </c>
      <c r="U57" s="367"/>
      <c r="V57" s="367"/>
      <c r="W57" s="367"/>
      <c r="X57" s="367"/>
      <c r="Y57" s="367"/>
      <c r="Z57" s="367"/>
      <c r="AA57" s="367"/>
      <c r="AB57" s="367"/>
      <c r="AC57" s="324"/>
      <c r="AD57" s="1505"/>
      <c r="AE57" s="367"/>
      <c r="AF57" s="367"/>
      <c r="AG57" s="367"/>
      <c r="AH57" s="367"/>
      <c r="AI57" s="367"/>
      <c r="AJ57" s="367"/>
      <c r="AK57" s="367"/>
      <c r="AL57" s="367"/>
      <c r="AM57" s="367"/>
      <c r="AN57" s="367"/>
      <c r="AO57" s="367"/>
      <c r="AP57" s="367"/>
      <c r="AQ57" s="367"/>
      <c r="AR57" s="367"/>
      <c r="AS57" s="367"/>
      <c r="AT57" s="367"/>
      <c r="AU57" s="367"/>
      <c r="AV57" s="367"/>
      <c r="AW57" s="367"/>
      <c r="AX57" s="367"/>
      <c r="AY57" s="367"/>
      <c r="AZ57" s="367"/>
      <c r="BA57" s="367"/>
      <c r="BB57" s="324"/>
      <c r="BC57" s="2255"/>
      <c r="BE57" s="500"/>
      <c r="BF57" s="500" t="str">
        <f>IF(T57="","",T57)</f>
        <v>Добавить строку</v>
      </c>
      <c r="BG57" s="500"/>
      <c r="BH57" s="500"/>
      <c r="BI57" s="1155">
        <v>11</v>
      </c>
    </row>
    <row s="1642" customFormat="1" customHeight="1" ht="0">
      <c r="A58" s="1343" t="s">
        <v>248</v>
      </c>
      <c r="B58" s="1343" t="s">
        <v>249</v>
      </c>
      <c r="C58" s="1343" t="s">
        <v>250</v>
      </c>
      <c r="D58" s="1343" t="s">
        <v>517</v>
      </c>
      <c r="E58" s="2259"/>
      <c r="F58" s="2259"/>
      <c r="G58" s="2259"/>
      <c r="H58" s="2259"/>
      <c r="I58" s="2256"/>
      <c r="J58" s="1343"/>
      <c r="K58" s="1343"/>
      <c r="L58" s="1346"/>
      <c r="M58" s="510"/>
      <c r="N58" s="510"/>
      <c r="O58" s="510"/>
      <c r="P58" s="2257"/>
      <c r="Q58" s="1462"/>
      <c r="R58" s="356"/>
      <c r="S58" s="1386"/>
      <c r="T58" s="1387"/>
      <c r="U58" s="1388"/>
      <c r="V58" s="1388"/>
      <c r="W58" s="1388"/>
      <c r="X58" s="1388"/>
      <c r="Y58" s="1388"/>
      <c r="Z58" s="1388"/>
      <c r="AA58" s="1388"/>
      <c r="AB58" s="1388"/>
      <c r="AC58" s="1388"/>
      <c r="AD58" s="1388"/>
      <c r="AE58" s="1388"/>
      <c r="AF58" s="1388"/>
      <c r="AG58" s="1388"/>
      <c r="AH58" s="1388"/>
      <c r="AI58" s="1388"/>
      <c r="AJ58" s="1388"/>
      <c r="AK58" s="1388"/>
      <c r="AL58" s="1388"/>
      <c r="AM58" s="1388"/>
      <c r="AN58" s="1388"/>
      <c r="AO58" s="1388"/>
      <c r="AP58" s="1388"/>
      <c r="AQ58" s="1388"/>
      <c r="AR58" s="1388"/>
      <c r="AS58" s="1388"/>
      <c r="AT58" s="1388"/>
      <c r="AU58" s="1388"/>
      <c r="AV58" s="1388"/>
      <c r="AW58" s="1388"/>
      <c r="AX58" s="1388"/>
      <c r="AY58" s="1388"/>
      <c r="AZ58" s="1388"/>
      <c r="BA58" s="1388"/>
      <c r="BB58" s="1388"/>
      <c r="BC58" s="1389"/>
      <c r="BE58" s="500"/>
      <c r="BF58" s="500" t="str">
        <f>IF(T58="","",T58)</f>
        <v/>
      </c>
      <c r="BG58" s="500"/>
      <c r="BH58" s="500"/>
      <c r="BI58" s="511">
        <v>0</v>
      </c>
    </row>
    <row s="1642" customFormat="1" customHeight="1" ht="0">
      <c r="A59" s="1343" t="s">
        <v>248</v>
      </c>
      <c r="B59" s="1343" t="s">
        <v>249</v>
      </c>
      <c r="C59" s="1343" t="s">
        <v>250</v>
      </c>
      <c r="D59" s="1343" t="s">
        <v>517</v>
      </c>
      <c r="E59" s="2259"/>
      <c r="F59" s="2259"/>
      <c r="G59" s="2259"/>
      <c r="H59" s="2258"/>
      <c r="I59" s="1343"/>
      <c r="J59" s="1343"/>
      <c r="K59" s="1343"/>
      <c r="L59" s="1346"/>
      <c r="M59" s="1315"/>
      <c r="N59" s="1315"/>
      <c r="O59" s="518"/>
      <c r="P59" s="380"/>
      <c r="Q59" s="1344"/>
      <c r="R59" s="1401"/>
      <c r="S59" s="1386"/>
      <c r="T59" s="1387"/>
      <c r="U59" s="1388"/>
      <c r="V59" s="1388"/>
      <c r="W59" s="1388"/>
      <c r="X59" s="1388"/>
      <c r="Y59" s="1388"/>
      <c r="Z59" s="1388"/>
      <c r="AA59" s="1388"/>
      <c r="AB59" s="1388"/>
      <c r="AC59" s="1388"/>
      <c r="AD59" s="1388"/>
      <c r="AE59" s="1388"/>
      <c r="AF59" s="1388"/>
      <c r="AG59" s="1388"/>
      <c r="AH59" s="1388"/>
      <c r="AI59" s="1388"/>
      <c r="AJ59" s="1388"/>
      <c r="AK59" s="1388"/>
      <c r="AL59" s="1388"/>
      <c r="AM59" s="1388"/>
      <c r="AN59" s="1388"/>
      <c r="AO59" s="1388"/>
      <c r="AP59" s="1388"/>
      <c r="AQ59" s="1388"/>
      <c r="AR59" s="1388"/>
      <c r="AS59" s="1388"/>
      <c r="AT59" s="1388"/>
      <c r="AU59" s="1388"/>
      <c r="AV59" s="1388"/>
      <c r="AW59" s="1388"/>
      <c r="AX59" s="1388"/>
      <c r="AY59" s="1388"/>
      <c r="AZ59" s="1388"/>
      <c r="BA59" s="1388"/>
      <c r="BB59" s="1388"/>
      <c r="BC59" s="1389"/>
      <c r="BE59" s="500"/>
      <c r="BF59" s="500" t="str">
        <f>IF(T59="","",T59)</f>
        <v/>
      </c>
      <c r="BG59" s="500"/>
      <c r="BH59" s="500"/>
      <c r="BI59" s="511">
        <v>0</v>
      </c>
    </row>
    <row s="1642" customFormat="1" customHeight="1" ht="0">
      <c r="A60" s="1343" t="s">
        <v>248</v>
      </c>
      <c r="B60" s="1343" t="s">
        <v>249</v>
      </c>
      <c r="C60" s="1343" t="s">
        <v>250</v>
      </c>
      <c r="D60" s="1314"/>
      <c r="E60" s="2259"/>
      <c r="F60" s="2259"/>
      <c r="G60" s="2258"/>
      <c r="H60" s="1314"/>
      <c r="I60" s="1314"/>
      <c r="J60" s="1314"/>
      <c r="K60" s="1314"/>
      <c r="L60" s="1464"/>
      <c r="M60" s="1315"/>
      <c r="N60" s="1315"/>
      <c r="P60" s="1316"/>
      <c r="Q60" s="1317"/>
      <c r="R60" s="1316"/>
      <c r="S60" s="1322"/>
      <c r="T60" s="1325"/>
      <c r="U60" s="1324"/>
      <c r="V60" s="1324"/>
      <c r="W60" s="1324"/>
      <c r="X60" s="1324"/>
      <c r="Y60" s="1324"/>
      <c r="Z60" s="1324"/>
      <c r="AA60" s="1324"/>
      <c r="AB60" s="1324"/>
      <c r="AC60" s="1324"/>
      <c r="AD60" s="1324"/>
      <c r="AE60" s="1324"/>
      <c r="AF60" s="1324"/>
      <c r="AG60" s="1324"/>
      <c r="AH60" s="1324"/>
      <c r="AI60" s="1324"/>
      <c r="AJ60" s="1324"/>
      <c r="AK60" s="1324"/>
      <c r="AL60" s="1324"/>
      <c r="AM60" s="1324"/>
      <c r="AN60" s="1324"/>
      <c r="AO60" s="1324"/>
      <c r="AP60" s="1324"/>
      <c r="AQ60" s="1324"/>
      <c r="AR60" s="1324"/>
      <c r="AS60" s="1324"/>
      <c r="AT60" s="1324"/>
      <c r="AU60" s="1324"/>
      <c r="AV60" s="1324"/>
      <c r="AW60" s="1324"/>
      <c r="AX60" s="1324"/>
      <c r="AY60" s="1324"/>
      <c r="AZ60" s="1324"/>
      <c r="BA60" s="1324"/>
      <c r="BB60" s="1324"/>
      <c r="BC60" s="1324"/>
      <c r="BE60" s="789"/>
      <c r="BF60" s="789" t="str">
        <f>IF(T60="","",T60)</f>
        <v/>
      </c>
      <c r="BG60" s="789"/>
      <c r="BH60" s="789"/>
      <c r="BI60" s="518">
        <v>0</v>
      </c>
    </row>
    <row s="1642" customFormat="1" customHeight="1" ht="0">
      <c r="A61" s="1343" t="s">
        <v>248</v>
      </c>
      <c r="B61" s="1343" t="s">
        <v>249</v>
      </c>
      <c r="C61" s="1314"/>
      <c r="D61" s="1314"/>
      <c r="E61" s="2259"/>
      <c r="F61" s="2258"/>
      <c r="G61" s="1314"/>
      <c r="H61" s="1314"/>
      <c r="I61" s="1314"/>
      <c r="J61" s="1314"/>
      <c r="K61" s="1314"/>
      <c r="L61" s="1464"/>
      <c r="M61" s="1321"/>
      <c r="N61" s="1321"/>
      <c r="P61" s="1316"/>
      <c r="Q61" s="1317"/>
      <c r="R61" s="1316"/>
      <c r="S61" s="1322"/>
      <c r="T61" s="1325" t="s">
        <v>417</v>
      </c>
      <c r="U61" s="1324"/>
      <c r="V61" s="1324"/>
      <c r="W61" s="1324"/>
      <c r="X61" s="1324"/>
      <c r="Y61" s="1324"/>
      <c r="Z61" s="1324"/>
      <c r="AA61" s="1324"/>
      <c r="AB61" s="1324"/>
      <c r="AC61" s="1324"/>
      <c r="AD61" s="1324"/>
      <c r="AE61" s="1324"/>
      <c r="AF61" s="1324"/>
      <c r="AG61" s="1324"/>
      <c r="AH61" s="1324"/>
      <c r="AI61" s="1324"/>
      <c r="AJ61" s="1324"/>
      <c r="AK61" s="1324"/>
      <c r="AL61" s="1324"/>
      <c r="AM61" s="1324"/>
      <c r="AN61" s="1324"/>
      <c r="AO61" s="1324"/>
      <c r="AP61" s="1324"/>
      <c r="AQ61" s="1324"/>
      <c r="AR61" s="1324"/>
      <c r="AS61" s="1324"/>
      <c r="AT61" s="1324"/>
      <c r="AU61" s="1324"/>
      <c r="AV61" s="1324"/>
      <c r="AW61" s="1324"/>
      <c r="AX61" s="1324"/>
      <c r="AY61" s="1324"/>
      <c r="AZ61" s="1324"/>
      <c r="BA61" s="1324"/>
      <c r="BB61" s="1324"/>
      <c r="BC61" s="1324"/>
      <c r="BE61" s="789"/>
      <c r="BF61" s="789" t="str">
        <f>IF(T61="","",T61)</f>
        <v>Добавить централизованную систему для дифференциации</v>
      </c>
      <c r="BG61" s="789"/>
      <c r="BH61" s="789"/>
      <c r="BI61" s="518">
        <v>0</v>
      </c>
    </row>
    <row s="1642" customFormat="1" customHeight="1" ht="0">
      <c r="A62" s="1343" t="s">
        <v>248</v>
      </c>
      <c r="B62" s="1343"/>
      <c r="C62" s="1343"/>
      <c r="D62" s="1343"/>
      <c r="E62" s="2258"/>
      <c r="F62" s="1343"/>
      <c r="G62" s="1343"/>
      <c r="H62" s="1343"/>
      <c r="I62" s="1343"/>
      <c r="J62" s="1343"/>
      <c r="K62" s="1343"/>
      <c r="L62" s="1346"/>
      <c r="M62" s="1321"/>
      <c r="N62" s="1321"/>
      <c r="O62" s="518"/>
      <c r="P62" s="380"/>
      <c r="Q62" s="1344"/>
      <c r="R62" s="380"/>
      <c r="S62" s="1322"/>
      <c r="T62" s="1325" t="s">
        <v>418</v>
      </c>
      <c r="U62" s="1324"/>
      <c r="V62" s="1324"/>
      <c r="W62" s="1324"/>
      <c r="X62" s="1324"/>
      <c r="Y62" s="1324"/>
      <c r="Z62" s="1324"/>
      <c r="AA62" s="1324"/>
      <c r="AB62" s="1324"/>
      <c r="AC62" s="1324"/>
      <c r="AD62" s="1324"/>
      <c r="AE62" s="1324"/>
      <c r="AF62" s="1324"/>
      <c r="AG62" s="1324"/>
      <c r="AH62" s="1324"/>
      <c r="AI62" s="1324"/>
      <c r="AJ62" s="1324"/>
      <c r="AK62" s="1324"/>
      <c r="AL62" s="1324"/>
      <c r="AM62" s="1324"/>
      <c r="AN62" s="1324"/>
      <c r="AO62" s="1324"/>
      <c r="AP62" s="1324"/>
      <c r="AQ62" s="1324"/>
      <c r="AR62" s="1324"/>
      <c r="AS62" s="1324"/>
      <c r="AT62" s="1324"/>
      <c r="AU62" s="1324"/>
      <c r="AV62" s="1324"/>
      <c r="AW62" s="1324"/>
      <c r="AX62" s="1324"/>
      <c r="AY62" s="1324"/>
      <c r="AZ62" s="1324"/>
      <c r="BA62" s="1324"/>
      <c r="BB62" s="1324"/>
      <c r="BC62" s="1324"/>
      <c r="BE62" s="500"/>
      <c r="BF62" s="500" t="str">
        <f>IF(T62="","",T62)</f>
        <v>Добавить территорию для дифференциации</v>
      </c>
      <c r="BG62" s="500"/>
      <c r="BH62" s="500"/>
      <c r="BI62" s="511">
        <v>0</v>
      </c>
    </row>
    <row s="1642" customFormat="1" customHeight="1" ht="0">
      <c r="A63" s="1314"/>
      <c r="B63" s="1314"/>
      <c r="C63" s="1314"/>
      <c r="D63" s="1314"/>
      <c r="E63" s="1343"/>
      <c r="F63" s="1314"/>
      <c r="G63" s="1314"/>
      <c r="H63" s="1314"/>
      <c r="I63" s="1314"/>
      <c r="J63" s="1314"/>
      <c r="K63" s="1314"/>
      <c r="L63" s="1464"/>
      <c r="M63" s="1321"/>
      <c r="N63" s="1321"/>
      <c r="P63" s="1316"/>
      <c r="Q63" s="1317"/>
      <c r="R63" s="1316"/>
      <c r="S63" s="1322"/>
      <c r="T63" s="1325" t="s">
        <v>450</v>
      </c>
      <c r="U63" s="1324"/>
      <c r="V63" s="1324"/>
      <c r="W63" s="1324"/>
      <c r="X63" s="1324"/>
      <c r="Y63" s="1324"/>
      <c r="Z63" s="1324"/>
      <c r="AA63" s="1324"/>
      <c r="AB63" s="1324"/>
      <c r="AC63" s="1324"/>
      <c r="AD63" s="1324"/>
      <c r="AE63" s="1324"/>
      <c r="AF63" s="1324"/>
      <c r="AG63" s="1324"/>
      <c r="AH63" s="1324"/>
      <c r="AI63" s="1324"/>
      <c r="AJ63" s="1324"/>
      <c r="AK63" s="1324"/>
      <c r="AL63" s="1324"/>
      <c r="AM63" s="1324"/>
      <c r="AN63" s="1324"/>
      <c r="AO63" s="1324"/>
      <c r="AP63" s="1324"/>
      <c r="AQ63" s="1324"/>
      <c r="AR63" s="1324"/>
      <c r="AS63" s="1324"/>
      <c r="AT63" s="1324"/>
      <c r="AU63" s="1324"/>
      <c r="AV63" s="1324"/>
      <c r="AW63" s="1324"/>
      <c r="AX63" s="1324"/>
      <c r="AY63" s="1324"/>
      <c r="AZ63" s="1324"/>
      <c r="BA63" s="1324"/>
      <c r="BB63" s="1324"/>
      <c r="BC63" s="1324"/>
      <c r="BE63" s="789"/>
      <c r="BF63" s="789" t="str">
        <f>IF(T63="","",T63)</f>
        <v>Добавить наименование тарифа</v>
      </c>
      <c r="BG63" s="789"/>
      <c r="BH63" s="789"/>
      <c r="BI63" s="518">
        <v>0</v>
      </c>
    </row>
    <row customHeight="1" ht="11.549999999999999">
      <c r="M64" s="1160"/>
      <c r="N64" s="1160"/>
      <c r="O64" s="537"/>
      <c r="P64" s="1160"/>
      <c r="Q64" s="1160"/>
      <c r="R64" s="1155"/>
      <c r="S64" s="1155"/>
      <c r="BD64" s="1155"/>
      <c r="BE64" s="1155"/>
      <c r="BF64" s="1155"/>
      <c r="BG64" s="1155"/>
      <c r="BH64" s="1155"/>
      <c r="BI64" s="1155">
        <v>11</v>
      </c>
    </row>
    <row customHeight="1" ht="19.95">
      <c r="O65" s="537"/>
      <c r="S65" s="1253"/>
      <c r="T65" s="2285"/>
      <c r="U65" s="2285"/>
      <c r="V65" s="2285"/>
      <c r="W65" s="2285"/>
      <c r="X65" s="2285"/>
      <c r="Y65" s="2285"/>
      <c r="Z65" s="2285"/>
      <c r="AA65" s="2285"/>
      <c r="AB65" s="2285"/>
      <c r="AC65" s="2285"/>
      <c r="AD65" s="2285"/>
      <c r="AE65" s="2285"/>
      <c r="AF65" s="2285"/>
      <c r="AG65" s="2285"/>
      <c r="AH65" s="2285"/>
      <c r="AI65" s="2285"/>
      <c r="AJ65" s="2285"/>
      <c r="AK65" s="2285"/>
      <c r="AL65" s="2285"/>
      <c r="AM65" s="2285"/>
      <c r="AN65" s="2285"/>
      <c r="AO65" s="2285"/>
      <c r="AP65" s="2285"/>
      <c r="AQ65" s="2285"/>
      <c r="AR65" s="2285"/>
      <c r="AS65" s="2285"/>
      <c r="AT65" s="2285"/>
      <c r="AU65" s="2285"/>
      <c r="AV65" s="2285"/>
      <c r="AW65" s="2285"/>
      <c r="AX65" s="2285"/>
      <c r="AY65" s="2285"/>
      <c r="AZ65" s="2285"/>
      <c r="BA65" s="2285"/>
      <c r="BB65" s="2285"/>
      <c r="BC65" s="2285"/>
      <c r="BI65" s="1155">
        <v>19</v>
      </c>
    </row>
    <row customHeight="1" ht="14.699999999999998">
      <c r="O66" s="537"/>
      <c r="T66" s="1449"/>
      <c r="U66" s="1449"/>
      <c r="V66" s="1449"/>
      <c r="W66" s="1449"/>
      <c r="X66" s="1449"/>
      <c r="Y66" s="1449"/>
      <c r="Z66" s="1449"/>
      <c r="AA66" s="1449"/>
      <c r="AB66" s="1449"/>
      <c r="AC66" s="1449"/>
      <c r="AD66" s="1449"/>
      <c r="AE66" s="1449"/>
      <c r="AF66" s="1449"/>
      <c r="AG66" s="1449"/>
      <c r="AH66" s="1449"/>
      <c r="AI66" s="1449"/>
      <c r="AJ66" s="1449"/>
      <c r="AK66" s="1449"/>
      <c r="AL66" s="1449"/>
      <c r="AM66" s="1449"/>
      <c r="AN66" s="1449"/>
      <c r="AO66" s="1449"/>
      <c r="AP66" s="1449"/>
      <c r="AQ66" s="1449"/>
      <c r="AR66" s="1449"/>
      <c r="AS66" s="1449"/>
      <c r="AT66" s="1449"/>
      <c r="AU66" s="1449"/>
      <c r="AV66" s="1449"/>
      <c r="AW66" s="1449"/>
      <c r="AX66" s="1449"/>
      <c r="AY66" s="1449"/>
      <c r="AZ66" s="1449"/>
      <c r="BA66" s="1449"/>
      <c r="BB66" s="1449"/>
      <c r="BC66" s="1449"/>
      <c r="BI66" s="1155">
        <v>14</v>
      </c>
    </row>
    <row customHeight="1" ht="19.95">
      <c r="O67" s="537"/>
      <c r="S67" s="1253"/>
      <c r="T67" s="2285"/>
      <c r="U67" s="2285"/>
      <c r="V67" s="2285"/>
      <c r="W67" s="2285"/>
      <c r="X67" s="2285"/>
      <c r="Y67" s="2285"/>
      <c r="Z67" s="2285"/>
      <c r="AA67" s="2285"/>
      <c r="AB67" s="2285"/>
      <c r="AC67" s="2285"/>
      <c r="AD67" s="2285"/>
      <c r="AE67" s="2285"/>
      <c r="AF67" s="2285"/>
      <c r="AG67" s="2285"/>
      <c r="AH67" s="2285"/>
      <c r="AI67" s="2285"/>
      <c r="AJ67" s="2285"/>
      <c r="AK67" s="2285"/>
      <c r="AL67" s="2285"/>
      <c r="AM67" s="2285"/>
      <c r="AN67" s="2285"/>
      <c r="AO67" s="2285"/>
      <c r="AP67" s="2285"/>
      <c r="AQ67" s="2285"/>
      <c r="AR67" s="2285"/>
      <c r="AS67" s="2285"/>
      <c r="AT67" s="2285"/>
      <c r="AU67" s="2285"/>
      <c r="AV67" s="2285"/>
      <c r="AW67" s="2285"/>
      <c r="AX67" s="2285"/>
      <c r="AY67" s="2285"/>
      <c r="AZ67" s="2285"/>
      <c r="BA67" s="2285"/>
      <c r="BB67" s="2285"/>
      <c r="BC67" s="2285"/>
      <c r="BI67" s="1155">
        <v>19</v>
      </c>
    </row>
    <row customHeight="1" ht="14.699999999999998">
      <c r="O68" s="537"/>
      <c r="BI68" s="1155">
        <v>14</v>
      </c>
    </row>
    <row customHeight="1" ht="14.25" hidden="1">
      <c r="A69" s="1160" t="s">
        <v>82</v>
      </c>
      <c r="B69" s="1160">
        <v>0</v>
      </c>
      <c r="C69" s="1160">
        <v>0</v>
      </c>
      <c r="D69" s="1160">
        <v>0</v>
      </c>
      <c r="E69" s="1160">
        <v>0</v>
      </c>
      <c r="F69" s="1160">
        <v>0</v>
      </c>
      <c r="G69" s="1160">
        <v>0</v>
      </c>
      <c r="H69" s="1160">
        <v>0</v>
      </c>
      <c r="I69" s="1160">
        <v>0</v>
      </c>
      <c r="J69" s="1160">
        <v>0</v>
      </c>
      <c r="K69" s="1160">
        <v>0</v>
      </c>
      <c r="L69" s="1461">
        <v>0</v>
      </c>
      <c r="M69" s="1362">
        <v>0</v>
      </c>
      <c r="N69" s="1362">
        <v>0</v>
      </c>
      <c r="O69" s="1362">
        <v>0</v>
      </c>
      <c r="P69" s="1362">
        <v>0</v>
      </c>
      <c r="Q69" s="1371">
        <v>0</v>
      </c>
      <c r="R69" s="344">
        <v>3</v>
      </c>
      <c r="S69" s="581">
        <v>12</v>
      </c>
      <c r="T69" s="1155">
        <v>31</v>
      </c>
      <c r="U69" s="1155">
        <v>0</v>
      </c>
      <c r="V69" s="1155">
        <v>0</v>
      </c>
      <c r="W69" s="1155">
        <v>0</v>
      </c>
      <c r="X69" s="1155">
        <v>0</v>
      </c>
      <c r="Y69" s="1155">
        <v>0</v>
      </c>
      <c r="Z69" s="1155">
        <v>0</v>
      </c>
      <c r="AA69" s="1155">
        <v>0</v>
      </c>
      <c r="AB69" s="1155">
        <v>0</v>
      </c>
      <c r="AC69" s="1155">
        <v>0</v>
      </c>
      <c r="AD69" s="1155">
        <v>3</v>
      </c>
      <c r="AE69" s="1155">
        <v>3</v>
      </c>
      <c r="AF69" s="1155">
        <v>3</v>
      </c>
      <c r="AG69" s="1155">
        <v>24</v>
      </c>
      <c r="AH69" s="1155">
        <v>3</v>
      </c>
      <c r="AI69" s="1155">
        <v>3</v>
      </c>
      <c r="AJ69" s="1155">
        <v>3</v>
      </c>
      <c r="AK69" s="1155">
        <v>24</v>
      </c>
      <c r="AL69" s="1155">
        <v>3</v>
      </c>
      <c r="AM69" s="1155">
        <v>3</v>
      </c>
      <c r="AN69" s="1155">
        <v>3</v>
      </c>
      <c r="AO69" s="1155">
        <v>18</v>
      </c>
      <c r="AP69" s="1155">
        <v>3</v>
      </c>
      <c r="AQ69" s="1155">
        <v>3</v>
      </c>
      <c r="AR69" s="1155">
        <v>3</v>
      </c>
      <c r="AS69" s="1155">
        <v>18</v>
      </c>
      <c r="AT69" s="1155">
        <v>21</v>
      </c>
      <c r="AU69" s="1155">
        <v>21</v>
      </c>
      <c r="AV69" s="1155">
        <v>21</v>
      </c>
      <c r="AW69" s="1155">
        <v>21</v>
      </c>
      <c r="AX69" s="1155">
        <v>11</v>
      </c>
      <c r="AY69" s="1155">
        <v>3</v>
      </c>
      <c r="AZ69" s="1155">
        <v>11</v>
      </c>
      <c r="BA69" s="1155">
        <v>0</v>
      </c>
      <c r="BB69" s="1155">
        <v>4</v>
      </c>
      <c r="BC69" s="1155">
        <v>115</v>
      </c>
      <c r="BD69" s="511">
        <v>10</v>
      </c>
      <c r="BE69" s="511">
        <v>10</v>
      </c>
      <c r="BF69" s="511">
        <v>10</v>
      </c>
      <c r="BG69" s="511">
        <v>10</v>
      </c>
      <c r="BH69" s="511">
        <v>10</v>
      </c>
      <c r="BI69" s="1155">
        <v>23</v>
      </c>
    </row>
  </sheetData>
  <sheetProtection formatColumns="0" formatRows="0" autoFilter="0" sort="0" insertRows="0" insertColumns="1" deleteRows="0" deleteColumns="0"/>
  <mergeCells count="122">
    <mergeCell ref="T67:BC67"/>
    <mergeCell ref="AK52:AK54"/>
    <mergeCell ref="AL52:AL54"/>
    <mergeCell ref="AE52:AE55"/>
    <mergeCell ref="AF52:AF55"/>
    <mergeCell ref="AG52:AG55"/>
    <mergeCell ref="AH52:AH55"/>
    <mergeCell ref="AI52:AI54"/>
    <mergeCell ref="AJ52:AJ54"/>
    <mergeCell ref="BC52:BC57"/>
    <mergeCell ref="T52:T56"/>
    <mergeCell ref="T65:BC65"/>
    <mergeCell ref="E46:E62"/>
    <mergeCell ref="V46:AC46"/>
    <mergeCell ref="AD46:BB46"/>
    <mergeCell ref="F47:F61"/>
    <mergeCell ref="V47:AC47"/>
    <mergeCell ref="AM52:AM53"/>
    <mergeCell ref="AN52:AN53"/>
    <mergeCell ref="AO52:AO53"/>
    <mergeCell ref="AP52:AP53"/>
    <mergeCell ref="AD52:AD56"/>
    <mergeCell ref="G48:G60"/>
    <mergeCell ref="V48:AC48"/>
    <mergeCell ref="AD48:BB48"/>
    <mergeCell ref="H49:H59"/>
    <mergeCell ref="V49:AC49"/>
    <mergeCell ref="AD49:BB49"/>
    <mergeCell ref="AD47:BB47"/>
    <mergeCell ref="I50:I58"/>
    <mergeCell ref="P50:P58"/>
    <mergeCell ref="V50:AC50"/>
    <mergeCell ref="J51:J57"/>
    <mergeCell ref="Q51:Q57"/>
    <mergeCell ref="V51:AC51"/>
    <mergeCell ref="AD51:BB51"/>
    <mergeCell ref="BC40:BC44"/>
    <mergeCell ref="S41:S44"/>
    <mergeCell ref="T41:T44"/>
    <mergeCell ref="AC41:AC44"/>
    <mergeCell ref="AD41:AG44"/>
    <mergeCell ref="AH41:AK44"/>
    <mergeCell ref="X42:Y43"/>
    <mergeCell ref="V41:AB41"/>
    <mergeCell ref="AP41:AS44"/>
    <mergeCell ref="AT41:AZ41"/>
    <mergeCell ref="AT42:AU43"/>
    <mergeCell ref="AV42:AW43"/>
    <mergeCell ref="AX42:AZ43"/>
    <mergeCell ref="AA44:AB44"/>
    <mergeCell ref="AY44:AZ44"/>
    <mergeCell ref="AL41:AO44"/>
    <mergeCell ref="BA41:BA44"/>
    <mergeCell ref="BB41:BB44"/>
    <mergeCell ref="V42:W43"/>
    <mergeCell ref="Z42:AB43"/>
    <mergeCell ref="K52:K56"/>
    <mergeCell ref="S52:S56"/>
    <mergeCell ref="S32:T32"/>
    <mergeCell ref="V32:AB32"/>
    <mergeCell ref="AD32:AZ32"/>
    <mergeCell ref="S36:T36"/>
    <mergeCell ref="V36:AB36"/>
    <mergeCell ref="AD36:AZ36"/>
    <mergeCell ref="S37:T37"/>
    <mergeCell ref="V37:AB37"/>
    <mergeCell ref="AD37:AZ37"/>
    <mergeCell ref="S33:T33"/>
    <mergeCell ref="V33:AB33"/>
    <mergeCell ref="AD33:AZ33"/>
    <mergeCell ref="S34:T34"/>
    <mergeCell ref="V34:AB34"/>
    <mergeCell ref="AD34:AZ34"/>
    <mergeCell ref="V39:AC39"/>
    <mergeCell ref="AD39:BA39"/>
    <mergeCell ref="S40:BB40"/>
    <mergeCell ref="AA45:AB45"/>
    <mergeCell ref="AY45:AZ45"/>
    <mergeCell ref="AD50:BB50"/>
    <mergeCell ref="S29:AZ29"/>
    <mergeCell ref="BC8:BC13"/>
    <mergeCell ref="AK8:AK10"/>
    <mergeCell ref="AL8:AL10"/>
    <mergeCell ref="AE8:AE11"/>
    <mergeCell ref="AF8:AF11"/>
    <mergeCell ref="AG8:AG11"/>
    <mergeCell ref="S31:T31"/>
    <mergeCell ref="V31:AB31"/>
    <mergeCell ref="AD31:AZ31"/>
    <mergeCell ref="AD7:BB7"/>
    <mergeCell ref="K8:K12"/>
    <mergeCell ref="R8:R12"/>
    <mergeCell ref="S8:S12"/>
    <mergeCell ref="T8:T12"/>
    <mergeCell ref="AH8:AH11"/>
    <mergeCell ref="AI8:AI10"/>
    <mergeCell ref="AJ8:AJ10"/>
    <mergeCell ref="S28:AZ28"/>
    <mergeCell ref="E2:E18"/>
    <mergeCell ref="V2:AC2"/>
    <mergeCell ref="AD2:BB2"/>
    <mergeCell ref="F3:F17"/>
    <mergeCell ref="V3:AC3"/>
    <mergeCell ref="AD3:BB3"/>
    <mergeCell ref="G4:G16"/>
    <mergeCell ref="V4:AC4"/>
    <mergeCell ref="AD4:BB4"/>
    <mergeCell ref="H5:H15"/>
    <mergeCell ref="AM8:AM9"/>
    <mergeCell ref="AN8:AN9"/>
    <mergeCell ref="AO8:AO9"/>
    <mergeCell ref="AP8:AP9"/>
    <mergeCell ref="AD8:AD12"/>
    <mergeCell ref="V5:AC5"/>
    <mergeCell ref="AD5:BB5"/>
    <mergeCell ref="I6:I14"/>
    <mergeCell ref="P6:P14"/>
    <mergeCell ref="V6:AC6"/>
    <mergeCell ref="AD6:BB6"/>
    <mergeCell ref="J7:J13"/>
    <mergeCell ref="Q7:Q13"/>
    <mergeCell ref="V7:AC7"/>
  </mergeCells>
  <dataValidations count="9">
    <dataValidation type="list" allowBlank="1" showInputMessage="1" showErrorMessage="1" errorTitle="Ошибка" error="Выберите значение из списка" sqref="T65589 T131125 T196661 T262197 T327733 T393269 T458805 T524341 T589877 T655413 T720949 T786485 T852021 T917557 T983093">
      <formula1>kind_of_heat_transfer</formula1>
    </dataValidation>
    <dataValidation type="list" allowBlank="1" showInputMessage="1" showErrorMessage="1" errorTitle="Ошибка" error="Выберите значение из списка" sqref="AD917555:AS917555 AD983091:AS983091 AD65587:AS65587 AD131123:AS131123 AD196659:AS196659 AD262195:AS262195 AD327731:AS327731 AD393267:AS393267 AD458803:AS458803 AD524339:AS524339 AD589875:AS589875 AD655411:AS655411 AD720947:AS720947 AD786483:AS786483 AD852019:AS852019">
      <formula1>kind_of_scheme_in</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9 Z131125 Z196661 Z262197 Z327733 Z393269 Z458805 Z524341 Z589877 Z655413 Z720949 Z786485 Z852021 Z917557 Z983093 AB65589 AB131125 AB196661 AB262197 AB327733 AB393269 AB458805 AB524341 AB589877 AB655413 AB720949 AB786485 AB852021 AB917557 AB983093 Z8 AB8 AX65589 AX131125 AX196661 AX262197 AX327733 AX393269 AX458805 AX524341 AX589877 AX655413 AX720949 AX786485 AX852021 AX917557 AX983093 AZ65589 AZ131125 AZ196661 AZ262197 AZ327733 AZ393269 AZ458805 AZ524341 AZ589877 AZ655413 AZ720949 AZ786485 AZ852021 AZ917557 AZ983093 AX52 AX20 AZ8 AZ52 AX8 AZ20 Z52 AB52"/>
    <dataValidation allowBlank="1" promptTitle="checkPeriodRange" sqref="W131126 W196662 W262198 W327734 W393270 W458806 W524342 W589878 W655414 W720950 W786486 W852022 W917558 W983094 AW56 AU12 BB12 AW65590 AW131126 AW196662 AW262198 AW327734 AW393270 AW458806 AW524342 AW589878 AW655414 AW720950 AW786486 AW852022 AW917558 AW983094 Y65590 Y56 W65590 Y131126 Y196662 Y262198 Y327734 Y393270 Y458806 Y524342 Y589878 Y655414 Y720950 Y786486 Y852022 Y917558 Y983094 AU56 Y12 BB56 W12 AW12 W56"/>
    <dataValidation type="textLength" operator="lessThanOrEqual" allowBlank="1" showInputMessage="1" showErrorMessage="1" errorTitle="Ошибка" error="Допускается ввод не более 900 символов!" sqref="BC65583:BC65590 BC131119:BC131126 BC196655:BC196662 BC262191:BC262198 BC327727:BC327734 BC393263:BC393270 BC458799:BC458806 BC524335:BC524342 BC589871:BC589878 BC655407:BC655414 BC720943:BC720950 BC786479:BC786486 BC852015:BC852022 BC917551:BC917558 BC983087:BC983094 AS8 T8:T12 AS52 T52:T56">
      <formula1>900</formula1>
    </dataValidation>
    <dataValidation allowBlank="1" showInputMessage="1" showErrorMessage="1" prompt="Для выбора выполните двойной щелчок левой клавиши мыши по соответствующей ячейке." sqref="AA65589 AA131125 AA196661 AA262197 AA327733 AA393269 AA458805 AA524341 AA589877 AA655413 AA720949 AA786485 AA852021 AA917557 AA983093 AC131125 AC458805 AC196661 AC262197 AC327733 AC393269 AC524341 AC589877 AC655413 AC720949 AC786485 AC852021 AC917557 AC983093 AC65589 AH52:AH53 AY8 AP52 AK52:AL53 AA8 AY65589 AY131125 AY196661 AY262197 AY327733 AY393269 AY458805 AY524341 AY589877 AY655413 AY720949 AY786485 AY852021 AY917557 AY983093 BA458805 BA196661 BA262197 BA327733 BA393269 BA524341 BA589877 BA655413 BA720949 BA786485 BA852021 BA917557 BA983093 BA65589 BA52 AC8:AD8 BA20 BA8 AY52 AK8:AL9 AD20 AG20:AH20 AK20:AL20 AP20 AY20 AH8:AH9 AP8 BA131125 AC52:AD52 AA52"/>
    <dataValidation type="decimal" allowBlank="1" showErrorMessage="1" errorTitle="Ошибка" error="Допускается ввод только действительных чисел!" sqref="AO52:AO53 AG8:AG11 AO8:AO9 AG52:AG55">
      <formula1>-9.99999999999999E+23</formula1>
      <formula2>9.99999999999999E+23</formula2>
    </dataValidation>
    <dataValidation type="list" allowBlank="1" showInputMessage="1" errorTitle="Ошибка" error="Выберите значение из списка" prompt="Выберите значение из списка" sqref="V983092:BB983092 V917556:BB917556 V852020:BB852020 V786484:BB786484 V720948:BB720948 V655412:BB655412 V589876:BB589876 V524340:BB524340 V458804:BB458804 V393268:BB393268 V327732:BB327732 V262196:BB262196 V196660:BB196660 V131124:BB131124 V65588:BB65588">
      <formula1>kind_of_cons</formula1>
    </dataValidation>
    <dataValidation allowBlank="1" sqref="S65591:BC65597 S983095:BC983101 S917559:BC917565 S852023:BC852029 S786487:BC786493 S720951:BC720957 S655415:BC655421 S589879:BC589885 S524343:BC524349 S458807:BC458813 S393271:BC393277 S327735:BC327741 S262199:BC262205 S196663:BC196669 S131127:BC131133"/>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2E47BD5-B8A1-137B-F4AE-8EC6E6B2BE5C}" mc:Ignorable="x14ac xr xr2 xr3">
  <sheetPr>
    <tabColor theme="6" tint="0.4"/>
  </sheetPr>
  <dimension ref="A1:AQ58"/>
  <sheetViews>
    <sheetView showGridLines="0" zoomScale="90" workbookViewId="0">
      <pane xSplit="28" ySplit="40" topLeftCell="AC41" activePane="bottomRight" state="frozen"/>
      <selection pane="bottomLeft" activeCell="A41" sqref="A41"/>
      <selection pane="topRight" activeCell="AC1" sqref="AC1"/>
      <selection pane="bottomRight" activeCell="A1" sqref="A1"/>
    </sheetView>
  </sheetViews>
  <sheetFormatPr defaultColWidth="10.57421875" customHeight="1" defaultRowHeight="14.25"/>
  <cols>
    <col min="1" max="1" style="1366" width="10.57421875" hidden="1"/>
    <col min="2" max="2" style="1366" width="11.00390625" hidden="1" customWidth="1"/>
    <col min="3" max="3" style="1366" width="10.57421875" hidden="1"/>
    <col min="4" max="4" style="1366" width="11.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4.140625" hidden="1" customWidth="1"/>
    <col min="10" max="10" style="1366" width="9.8515625" hidden="1" customWidth="1"/>
    <col min="11" max="11" style="1366" width="14.7109375" hidden="1" customWidth="1"/>
    <col min="12" max="12" style="2607" width="19.140625" hidden="1" customWidth="1"/>
    <col min="13" max="14" style="1776" width="12.28125" hidden="1" customWidth="1"/>
    <col min="15" max="15" style="1776" width="23.421875" hidden="1" customWidth="1"/>
    <col min="16" max="16" style="2397" width="3.00390625" customWidth="1"/>
    <col min="17" max="18" style="344" width="3.00390625" customWidth="1"/>
    <col min="19" max="19" style="2407" width="12.00390625" customWidth="1"/>
    <col min="20" max="20" style="1635" width="35.00390625" customWidth="1"/>
    <col min="21" max="21" style="1635" width="0.140625" customWidth="1"/>
    <col min="22" max="24" style="1635" width="24.7109375" hidden="1" customWidth="1"/>
    <col min="25" max="25" style="1635" width="11.7109375" hidden="1" customWidth="1"/>
    <col min="26" max="26" style="1635" width="3.7109375" hidden="1" customWidth="1"/>
    <col min="27" max="27" style="1635" width="11.7109375" hidden="1" customWidth="1"/>
    <col min="28" max="28" style="1635" width="8.57421875" hidden="1" customWidth="1"/>
    <col min="29" max="29" style="1635" width="24.7109375" customWidth="1"/>
    <col min="30" max="31" style="1635" width="24.00390625" customWidth="1"/>
    <col min="32" max="32" style="1635" width="11.00390625" customWidth="1"/>
    <col min="33" max="33" style="1635" width="3.7109375" customWidth="1"/>
    <col min="34" max="34" style="1635" width="11.00390625" customWidth="1"/>
    <col min="35" max="35" style="1635" width="8.57421875" hidden="1" customWidth="1"/>
    <col min="36" max="36" style="1635" width="4.00390625" customWidth="1"/>
    <col min="37" max="37" style="1635" width="115.00390625" customWidth="1"/>
    <col min="38" max="42" style="1642" width="10.00390625" customWidth="1"/>
    <col min="43" max="43" style="1635" width="10.57421875" hidden="1"/>
  </cols>
  <sheetData>
    <row customHeight="1" ht="22.5" hidden="1">
      <c r="X1" s="327"/>
      <c r="Y1" s="327"/>
      <c r="AE1" s="327"/>
      <c r="AF1" s="327"/>
      <c r="AQ1" s="1155" t="s">
        <v>14</v>
      </c>
    </row>
    <row customHeight="1" ht="23.25" hidden="1">
      <c r="A2" s="1363"/>
      <c r="B2" s="1363"/>
      <c r="C2" s="1363"/>
      <c r="D2" s="1363"/>
      <c r="E2" s="2258">
        <v>1</v>
      </c>
      <c r="F2" s="1363"/>
      <c r="G2" s="1363"/>
      <c r="H2" s="1363"/>
      <c r="I2" s="1363"/>
      <c r="J2" s="1363"/>
      <c r="K2" s="1363"/>
      <c r="L2" s="1364"/>
      <c r="M2" s="1365"/>
      <c r="N2" s="1365"/>
      <c r="O2" s="1365"/>
      <c r="P2" s="361"/>
      <c r="Q2" s="360"/>
      <c r="R2" s="355"/>
      <c r="S2" s="1493">
        <f>INDEX(PT_DIFFERENTIATION_NUM_NTAR,MATCH(A2,PT_DIFFERENTIATION_NTAR_ID,0))</f>
      </c>
      <c r="T2" s="298" t="s">
        <v>127</v>
      </c>
      <c r="U2" s="300"/>
      <c r="V2" s="2242"/>
      <c r="W2" s="2243"/>
      <c r="X2" s="2243"/>
      <c r="Y2" s="2243"/>
      <c r="Z2" s="2243"/>
      <c r="AA2" s="2243"/>
      <c r="AB2" s="2244"/>
      <c r="AC2" s="2242">
        <f>INDEX(PT_DIFFERENTIATION_NTAR,MATCH(A2,PT_DIFFERENTIATION_NTAR_ID,0))</f>
      </c>
      <c r="AD2" s="2243"/>
      <c r="AE2" s="2243"/>
      <c r="AF2" s="2243"/>
      <c r="AG2" s="2243"/>
      <c r="AH2" s="2243"/>
      <c r="AI2" s="2243"/>
      <c r="AJ2" s="2244"/>
      <c r="AK2"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00"/>
      <c r="AN2" s="500" t="str">
        <f>IF(T2="","",T2)</f>
        <v>Наименование тарифа</v>
      </c>
      <c r="AO2" s="500"/>
      <c r="AP2" s="500"/>
      <c r="AQ2" s="1155">
        <v>0</v>
      </c>
    </row>
    <row customHeight="1" ht="23.25" hidden="1">
      <c r="A3" s="1363"/>
      <c r="B3" s="1363"/>
      <c r="C3" s="1363"/>
      <c r="D3" s="1363"/>
      <c r="E3" s="2259"/>
      <c r="F3" s="2258">
        <v>1</v>
      </c>
      <c r="G3" s="1363"/>
      <c r="H3" s="1363"/>
      <c r="I3" s="1363"/>
      <c r="J3" s="1363"/>
      <c r="K3" s="1363"/>
      <c r="L3" s="1364"/>
      <c r="M3" s="1365"/>
      <c r="N3" s="1365"/>
      <c r="O3" s="1365"/>
      <c r="P3" s="1487"/>
      <c r="Q3" s="352"/>
      <c r="R3" s="353"/>
      <c r="S3" s="1493">
        <f>INDEX(PT_DIFFERENTIATION_NUM_TER,MATCH(B3,PT_DIFFERENTIATION_TER_ID,0))</f>
      </c>
      <c r="T3" s="308" t="s">
        <v>399</v>
      </c>
      <c r="U3" s="300"/>
      <c r="V3" s="2242"/>
      <c r="W3" s="2243"/>
      <c r="X3" s="2243"/>
      <c r="Y3" s="2243"/>
      <c r="Z3" s="2243"/>
      <c r="AA3" s="2243"/>
      <c r="AB3" s="2244"/>
      <c r="AC3" s="2242">
        <f>INDEX(PT_DIFFERENTIATION_TER,MATCH(B3,PT_DIFFERENTIATION_TER_ID,0))</f>
      </c>
      <c r="AD3" s="2243"/>
      <c r="AE3" s="2243"/>
      <c r="AF3" s="2243"/>
      <c r="AG3" s="2243"/>
      <c r="AH3" s="2243"/>
      <c r="AI3" s="2243"/>
      <c r="AJ3" s="2244"/>
      <c r="AK3" s="1258" t="s">
        <v>400</v>
      </c>
      <c r="AM3" s="500"/>
      <c r="AN3" s="500" t="str">
        <f>IF(T3="","",T3)</f>
        <v>Территория действия тарифа</v>
      </c>
      <c r="AO3" s="500"/>
      <c r="AP3" s="500"/>
      <c r="AQ3" s="1155">
        <v>0</v>
      </c>
    </row>
    <row customHeight="1" ht="23.25" hidden="1">
      <c r="A4" s="1363"/>
      <c r="B4" s="1363"/>
      <c r="C4" s="1363"/>
      <c r="D4" s="1363"/>
      <c r="E4" s="2259"/>
      <c r="F4" s="2259"/>
      <c r="G4" s="2258">
        <v>1</v>
      </c>
      <c r="H4" s="1363"/>
      <c r="I4" s="1363"/>
      <c r="J4" s="1363"/>
      <c r="K4" s="1363"/>
      <c r="L4" s="1364"/>
      <c r="M4" s="1365"/>
      <c r="N4" s="1365"/>
      <c r="O4" s="1365"/>
      <c r="P4" s="354"/>
      <c r="Q4" s="352"/>
      <c r="R4" s="353"/>
      <c r="S4" s="1493">
        <f>INDEX(PT_DIFFERENTIATION_NUM_CS,MATCH(C4,PT_DIFFERENTIATION_CS_ID,0))</f>
      </c>
      <c r="T4" s="309" t="s">
        <v>518</v>
      </c>
      <c r="U4" s="300"/>
      <c r="V4" s="2242"/>
      <c r="W4" s="2243"/>
      <c r="X4" s="2243"/>
      <c r="Y4" s="2243"/>
      <c r="Z4" s="2243"/>
      <c r="AA4" s="2243"/>
      <c r="AB4" s="2244"/>
      <c r="AC4" s="2242">
        <f>INDEX(PT_DIFFERENTIATION_CS,MATCH(C4,PT_DIFFERENTIATION_CS_ID,0))</f>
      </c>
      <c r="AD4" s="2243"/>
      <c r="AE4" s="2243"/>
      <c r="AF4" s="2243"/>
      <c r="AG4" s="2243"/>
      <c r="AH4" s="2243"/>
      <c r="AI4" s="2243"/>
      <c r="AJ4" s="2244"/>
      <c r="AK4" s="1258" t="s">
        <v>519</v>
      </c>
      <c r="AM4" s="500"/>
      <c r="AN4" s="500" t="str">
        <f>IF(T4="","",T4)</f>
        <v>Наименование централизованной системы водоотведения</v>
      </c>
      <c r="AO4" s="500"/>
      <c r="AP4" s="500"/>
      <c r="AQ4" s="1155">
        <v>0</v>
      </c>
    </row>
    <row customHeight="1" ht="23.25" hidden="1">
      <c r="A5" s="1363"/>
      <c r="B5" s="1363"/>
      <c r="C5" s="1363"/>
      <c r="D5" s="1363"/>
      <c r="E5" s="2259"/>
      <c r="F5" s="2259"/>
      <c r="G5" s="2259"/>
      <c r="H5" s="2259"/>
      <c r="I5" s="2256">
        <f>S4&amp;".1"</f>
      </c>
      <c r="J5" s="1363"/>
      <c r="K5" s="1363"/>
      <c r="L5" s="1364"/>
      <c r="P5" s="2257">
        <v>1</v>
      </c>
      <c r="Q5" s="1481"/>
      <c r="R5" s="356"/>
      <c r="S5" s="1493">
        <f>$I5</f>
      </c>
      <c r="T5" s="285" t="s">
        <v>485</v>
      </c>
      <c r="U5" s="300"/>
      <c r="V5" s="2350"/>
      <c r="W5" s="2351"/>
      <c r="X5" s="2351"/>
      <c r="Y5" s="2351"/>
      <c r="Z5" s="2351"/>
      <c r="AA5" s="2351"/>
      <c r="AB5" s="2352"/>
      <c r="AC5" s="2353"/>
      <c r="AD5" s="2354"/>
      <c r="AE5" s="2354"/>
      <c r="AF5" s="2354"/>
      <c r="AG5" s="2354"/>
      <c r="AH5" s="2354"/>
      <c r="AI5" s="2354"/>
      <c r="AJ5" s="2355"/>
      <c r="AK5" s="1258" t="s">
        <v>486</v>
      </c>
      <c r="AM5" s="500"/>
      <c r="AN5" s="500" t="str">
        <f>IF(T5="","",T5)</f>
        <v>Наименование признака дифференциации</v>
      </c>
      <c r="AO5" s="500"/>
      <c r="AP5" s="500"/>
      <c r="AQ5" s="1155">
        <v>0</v>
      </c>
    </row>
    <row customHeight="1" ht="23.25" hidden="1">
      <c r="A6" s="1363"/>
      <c r="B6" s="1363"/>
      <c r="C6" s="1363"/>
      <c r="D6" s="1363"/>
      <c r="E6" s="2259"/>
      <c r="F6" s="2259"/>
      <c r="G6" s="2259"/>
      <c r="H6" s="2259"/>
      <c r="I6" s="2286"/>
      <c r="J6" s="2256">
        <f>I5&amp;".1"</f>
      </c>
      <c r="K6" s="1363"/>
      <c r="L6" s="1364" t="s">
        <v>408</v>
      </c>
      <c r="P6" s="2257"/>
      <c r="Q6" s="2257">
        <v>1</v>
      </c>
      <c r="R6" s="357"/>
      <c r="S6" s="1493">
        <f>$J6</f>
      </c>
      <c r="T6" s="286" t="s">
        <v>409</v>
      </c>
      <c r="U6" s="300"/>
      <c r="V6" s="2245"/>
      <c r="W6" s="2246"/>
      <c r="X6" s="2246"/>
      <c r="Y6" s="2246"/>
      <c r="Z6" s="2246"/>
      <c r="AA6" s="2246"/>
      <c r="AB6" s="2247"/>
      <c r="AC6" s="2245"/>
      <c r="AD6" s="2246"/>
      <c r="AE6" s="2246"/>
      <c r="AF6" s="2246"/>
      <c r="AG6" s="2246"/>
      <c r="AH6" s="2246"/>
      <c r="AI6" s="2246"/>
      <c r="AJ6" s="2247"/>
      <c r="AK6" s="1307" t="s">
        <v>487</v>
      </c>
      <c r="AM6" s="500"/>
      <c r="AN6" s="500" t="str">
        <f>IF(T6="","",T6)</f>
        <v>Группа потребителей</v>
      </c>
      <c r="AO6" s="500"/>
      <c r="AP6" s="500"/>
      <c r="AQ6" s="1155">
        <v>0</v>
      </c>
    </row>
    <row customHeight="1" ht="23.25" hidden="1">
      <c r="A7" s="1363"/>
      <c r="B7" s="1363"/>
      <c r="C7" s="1363"/>
      <c r="D7" s="1363"/>
      <c r="E7" s="2259"/>
      <c r="F7" s="2259"/>
      <c r="G7" s="2259"/>
      <c r="H7" s="2259"/>
      <c r="I7" s="2286"/>
      <c r="J7" s="2286"/>
      <c r="K7" s="2256">
        <f>J6&amp;".1"</f>
      </c>
      <c r="L7" s="1364"/>
      <c r="P7" s="2257"/>
      <c r="Q7" s="2257"/>
      <c r="R7" s="357">
        <v>1</v>
      </c>
      <c r="S7" s="1493">
        <f>$K7</f>
      </c>
      <c r="T7" s="1437"/>
      <c r="U7" s="300"/>
      <c r="V7" s="751"/>
      <c r="W7" s="751"/>
      <c r="X7" s="1257"/>
      <c r="Y7" s="2265"/>
      <c r="Z7" s="2107" t="s">
        <v>66</v>
      </c>
      <c r="AA7" s="2265"/>
      <c r="AB7" s="2107" t="s">
        <v>66</v>
      </c>
      <c r="AC7" s="751"/>
      <c r="AD7" s="751"/>
      <c r="AE7" s="1257"/>
      <c r="AF7" s="2265"/>
      <c r="AG7" s="2107" t="s">
        <v>66</v>
      </c>
      <c r="AH7" s="2287"/>
      <c r="AI7" s="2107" t="s">
        <v>66</v>
      </c>
      <c r="AJ7" s="1438"/>
      <c r="AK7" s="234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1">
        <f>STRCHECKDATE(V8:AJ8)</f>
      </c>
      <c r="AM7" s="500"/>
      <c r="AN7" s="500" t="str">
        <f>IF(T7="","",T7)</f>
        <v/>
      </c>
      <c r="AO7" s="500"/>
      <c r="AP7" s="500"/>
      <c r="AQ7" s="1155">
        <v>0</v>
      </c>
    </row>
    <row customHeight="1" ht="14.25" hidden="1">
      <c r="A8" s="1363"/>
      <c r="B8" s="1363"/>
      <c r="C8" s="1363"/>
      <c r="D8" s="1363"/>
      <c r="E8" s="2259"/>
      <c r="F8" s="2259"/>
      <c r="G8" s="2259"/>
      <c r="H8" s="2259"/>
      <c r="I8" s="2286"/>
      <c r="J8" s="2286"/>
      <c r="K8" s="2256"/>
      <c r="L8" s="1364"/>
      <c r="P8" s="2257"/>
      <c r="Q8" s="2257"/>
      <c r="R8" s="357"/>
      <c r="S8" s="1490"/>
      <c r="T8" s="300"/>
      <c r="U8" s="300"/>
      <c r="V8" s="325"/>
      <c r="W8" s="325"/>
      <c r="X8" s="328" t="str">
        <f>Y7&amp;"-"&amp;AA7</f>
        <v>-</v>
      </c>
      <c r="Y8" s="2266"/>
      <c r="Z8" s="2107"/>
      <c r="AA8" s="2266"/>
      <c r="AB8" s="2107"/>
      <c r="AC8" s="325"/>
      <c r="AD8" s="325"/>
      <c r="AE8" s="328" t="str">
        <f>AF7&amp;"-"&amp;AH7</f>
        <v>-</v>
      </c>
      <c r="AF8" s="2266"/>
      <c r="AG8" s="2107"/>
      <c r="AH8" s="2288"/>
      <c r="AI8" s="2107"/>
      <c r="AJ8" s="1439"/>
      <c r="AK8" s="2349"/>
      <c r="AM8" s="500"/>
      <c r="AN8" s="500" t="str">
        <f>IF(T8="","",T8)</f>
        <v/>
      </c>
      <c r="AO8" s="500"/>
      <c r="AP8" s="500"/>
      <c r="AQ8" s="1155">
        <v>0</v>
      </c>
    </row>
    <row customHeight="1" ht="21" hidden="1">
      <c r="A9" s="1363"/>
      <c r="B9" s="1363"/>
      <c r="C9" s="1363"/>
      <c r="D9" s="1363"/>
      <c r="E9" s="2259"/>
      <c r="F9" s="2259"/>
      <c r="G9" s="2259"/>
      <c r="H9" s="2259"/>
      <c r="I9" s="2286"/>
      <c r="J9" s="2256"/>
      <c r="K9" s="1363"/>
      <c r="L9" s="1364"/>
      <c r="P9" s="2257"/>
      <c r="Q9" s="2257"/>
      <c r="R9" s="356"/>
      <c r="S9" s="1278"/>
      <c r="T9" s="287" t="s">
        <v>488</v>
      </c>
      <c r="U9" s="367"/>
      <c r="V9" s="367"/>
      <c r="W9" s="367"/>
      <c r="X9" s="367"/>
      <c r="Y9" s="367"/>
      <c r="Z9" s="367"/>
      <c r="AA9" s="367"/>
      <c r="AB9" s="367"/>
      <c r="AC9" s="367"/>
      <c r="AD9" s="367"/>
      <c r="AE9" s="367"/>
      <c r="AF9" s="367"/>
      <c r="AG9" s="367"/>
      <c r="AH9" s="367"/>
      <c r="AI9" s="367"/>
      <c r="AJ9" s="367"/>
      <c r="AK9" s="1258" t="s">
        <v>489</v>
      </c>
      <c r="AM9" s="500"/>
      <c r="AN9" s="500" t="str">
        <f>IF(T9="","",T9)</f>
        <v>Добавить значение признака дифференциации</v>
      </c>
      <c r="AO9" s="500"/>
      <c r="AP9" s="500"/>
      <c r="AQ9" s="1155">
        <v>0</v>
      </c>
    </row>
    <row customHeight="1" ht="21" hidden="1">
      <c r="A10" s="1363"/>
      <c r="B10" s="1363"/>
      <c r="C10" s="1363"/>
      <c r="D10" s="1363"/>
      <c r="E10" s="2259"/>
      <c r="F10" s="2259"/>
      <c r="G10" s="2259"/>
      <c r="H10" s="2259"/>
      <c r="I10" s="2256"/>
      <c r="J10" s="1363"/>
      <c r="K10" s="1363"/>
      <c r="L10" s="1364"/>
      <c r="P10" s="2257"/>
      <c r="Q10" s="1481"/>
      <c r="R10" s="356"/>
      <c r="S10" s="1278"/>
      <c r="T10" s="365" t="s">
        <v>414</v>
      </c>
      <c r="U10" s="367"/>
      <c r="V10" s="367"/>
      <c r="W10" s="367"/>
      <c r="X10" s="367"/>
      <c r="Y10" s="367"/>
      <c r="Z10" s="367"/>
      <c r="AA10" s="367"/>
      <c r="AB10" s="366"/>
      <c r="AC10" s="367"/>
      <c r="AD10" s="367"/>
      <c r="AE10" s="367"/>
      <c r="AF10" s="367"/>
      <c r="AG10" s="367"/>
      <c r="AH10" s="367"/>
      <c r="AI10" s="366"/>
      <c r="AJ10" s="367"/>
      <c r="AK10" s="1440"/>
      <c r="AM10" s="500"/>
      <c r="AN10" s="500" t="str">
        <f>IF(T10="","",T10)</f>
        <v>Добавить группу потребителей</v>
      </c>
      <c r="AO10" s="500"/>
      <c r="AP10" s="500"/>
      <c r="AQ10" s="1155">
        <v>0</v>
      </c>
    </row>
    <row customHeight="1" ht="21" hidden="1">
      <c r="A11" s="1363"/>
      <c r="B11" s="1363"/>
      <c r="C11" s="1363"/>
      <c r="D11" s="1363"/>
      <c r="E11" s="2259"/>
      <c r="F11" s="2259"/>
      <c r="G11" s="2259"/>
      <c r="H11" s="2258"/>
      <c r="I11" s="1363"/>
      <c r="J11" s="1363"/>
      <c r="K11" s="1363"/>
      <c r="L11" s="1364"/>
      <c r="M11" s="1365"/>
      <c r="N11" s="1365"/>
      <c r="O11" s="537"/>
      <c r="P11" s="360"/>
      <c r="Q11" s="375"/>
      <c r="R11" s="355"/>
      <c r="S11" s="1278"/>
      <c r="T11" s="372" t="s">
        <v>490</v>
      </c>
      <c r="U11" s="367"/>
      <c r="V11" s="367"/>
      <c r="W11" s="367"/>
      <c r="X11" s="367"/>
      <c r="Y11" s="367"/>
      <c r="Z11" s="367"/>
      <c r="AA11" s="367"/>
      <c r="AB11" s="366"/>
      <c r="AC11" s="367"/>
      <c r="AD11" s="367"/>
      <c r="AE11" s="367"/>
      <c r="AF11" s="367"/>
      <c r="AG11" s="367"/>
      <c r="AH11" s="367"/>
      <c r="AI11" s="366"/>
      <c r="AJ11" s="367"/>
      <c r="AK11" s="303"/>
      <c r="AM11" s="500"/>
      <c r="AN11" s="500" t="str">
        <f>IF(T11="","",T11)</f>
        <v>Добавить наименование признака дифференциации</v>
      </c>
      <c r="AO11" s="500"/>
      <c r="AP11" s="500"/>
      <c r="AQ11" s="1155">
        <v>0</v>
      </c>
    </row>
    <row s="1642" customFormat="1" customHeight="1" ht="14.25" hidden="1">
      <c r="A12" s="1343"/>
      <c r="B12" s="1343"/>
      <c r="C12" s="1314"/>
      <c r="D12" s="1314"/>
      <c r="E12" s="2259"/>
      <c r="F12" s="2258"/>
      <c r="G12" s="1314"/>
      <c r="H12" s="1314"/>
      <c r="I12" s="1314"/>
      <c r="J12" s="1314"/>
      <c r="K12" s="1314"/>
      <c r="L12" s="1494"/>
      <c r="M12" s="1321"/>
      <c r="N12" s="1321"/>
      <c r="P12" s="1316"/>
      <c r="Q12" s="1317"/>
      <c r="R12" s="1316"/>
      <c r="S12" s="1322"/>
      <c r="T12" s="1325" t="s">
        <v>417</v>
      </c>
      <c r="U12" s="1324"/>
      <c r="V12" s="1324"/>
      <c r="W12" s="1324"/>
      <c r="X12" s="1324"/>
      <c r="Y12" s="1324"/>
      <c r="Z12" s="1324"/>
      <c r="AA12" s="1324"/>
      <c r="AB12" s="1324"/>
      <c r="AC12" s="1324"/>
      <c r="AD12" s="1324"/>
      <c r="AE12" s="1324"/>
      <c r="AF12" s="1324"/>
      <c r="AG12" s="1324"/>
      <c r="AH12" s="1324"/>
      <c r="AI12" s="1324"/>
      <c r="AJ12" s="1324"/>
      <c r="AK12" s="1324"/>
      <c r="AM12" s="789"/>
      <c r="AN12" s="789" t="str">
        <f>IF(T12="","",T12)</f>
        <v>Добавить централизованную систему для дифференциации</v>
      </c>
      <c r="AO12" s="789"/>
      <c r="AP12" s="789"/>
      <c r="AQ12" s="518">
        <v>0</v>
      </c>
    </row>
    <row s="1642" customFormat="1" customHeight="1" ht="14.25" hidden="1">
      <c r="A13" s="1343"/>
      <c r="B13" s="1343"/>
      <c r="C13" s="1343"/>
      <c r="D13" s="1343"/>
      <c r="E13" s="2258"/>
      <c r="F13" s="1343"/>
      <c r="G13" s="1343"/>
      <c r="H13" s="1343"/>
      <c r="I13" s="1343"/>
      <c r="J13" s="1343"/>
      <c r="K13" s="1343"/>
      <c r="L13" s="1346"/>
      <c r="M13" s="1321"/>
      <c r="N13" s="1321"/>
      <c r="O13" s="518"/>
      <c r="P13" s="380"/>
      <c r="Q13" s="1344"/>
      <c r="R13" s="380"/>
      <c r="S13" s="1322"/>
      <c r="T13" s="1325" t="s">
        <v>418</v>
      </c>
      <c r="U13" s="1324"/>
      <c r="V13" s="1324"/>
      <c r="W13" s="1324"/>
      <c r="X13" s="1324"/>
      <c r="Y13" s="1324"/>
      <c r="Z13" s="1324"/>
      <c r="AA13" s="1324"/>
      <c r="AB13" s="1324"/>
      <c r="AC13" s="1324"/>
      <c r="AD13" s="1324"/>
      <c r="AE13" s="1324"/>
      <c r="AF13" s="1324"/>
      <c r="AG13" s="1324"/>
      <c r="AH13" s="1324"/>
      <c r="AI13" s="1324"/>
      <c r="AJ13" s="1324"/>
      <c r="AK13" s="1324"/>
      <c r="AM13" s="500"/>
      <c r="AN13" s="500" t="str">
        <f>IF(T13="","",T13)</f>
        <v>Добавить территорию для дифференциации</v>
      </c>
      <c r="AO13" s="500"/>
      <c r="AP13" s="500"/>
      <c r="AQ13" s="511">
        <v>0</v>
      </c>
    </row>
    <row customHeight="1" ht="14.25" hidden="1">
      <c r="AB14" s="327"/>
      <c r="AI14" s="327"/>
      <c r="AQ14" s="1155">
        <v>0</v>
      </c>
    </row>
    <row customHeight="1" ht="14.25" hidden="1">
      <c r="AC15" s="1360"/>
      <c r="AD15" s="1360"/>
      <c r="AE15" s="1361"/>
      <c r="AF15" s="2267"/>
      <c r="AG15" s="2268" t="s">
        <v>66</v>
      </c>
      <c r="AH15" s="2267"/>
      <c r="AI15" s="2268" t="s">
        <v>66</v>
      </c>
      <c r="AQ15" s="1155">
        <v>0</v>
      </c>
    </row>
    <row customHeight="1" ht="14.25" hidden="1">
      <c r="AC16" s="1360"/>
      <c r="AD16" s="1360"/>
      <c r="AE16" s="328" t="str">
        <f>AF15&amp;"-"&amp;AH15</f>
        <v>-</v>
      </c>
      <c r="AF16" s="2268"/>
      <c r="AG16" s="2268"/>
      <c r="AH16" s="2268"/>
      <c r="AI16" s="2268"/>
      <c r="AQ16" s="1155">
        <v>0</v>
      </c>
    </row>
    <row customHeight="1" ht="14.25" hidden="1">
      <c r="AI17" s="327"/>
      <c r="AQ17" s="1155">
        <v>0</v>
      </c>
    </row>
    <row s="1366" customFormat="1" customHeight="1" ht="22.5" hidden="1">
      <c r="L18" s="1478"/>
      <c r="M18" s="1362"/>
      <c r="N18" s="1362"/>
      <c r="O18" s="1367" t="s">
        <v>419</v>
      </c>
      <c r="P18" s="1362"/>
      <c r="Q18" s="1371"/>
      <c r="R18" s="1371"/>
      <c r="S18" s="729"/>
      <c r="Y18" s="1367"/>
      <c r="AA18" s="1367"/>
      <c r="AB18" s="1366"/>
      <c r="AF18" s="1367"/>
      <c r="AH18" s="1367"/>
      <c r="AI18" s="1366"/>
      <c r="AL18" s="511"/>
      <c r="AM18" s="511"/>
      <c r="AN18" s="511"/>
      <c r="AO18" s="511"/>
      <c r="AP18" s="511"/>
      <c r="AQ18" s="1160">
        <v>0</v>
      </c>
    </row>
    <row s="1366" customFormat="1" customHeight="1" ht="14.25" hidden="1">
      <c r="L19" s="1478"/>
      <c r="M19" s="1362"/>
      <c r="N19" s="1362"/>
      <c r="O19" s="1362"/>
      <c r="P19" s="1362"/>
      <c r="Q19" s="1371"/>
      <c r="R19" s="1371"/>
      <c r="S19" s="729"/>
      <c r="AB19" s="1366"/>
      <c r="AI19" s="1366"/>
      <c r="AL19" s="511"/>
      <c r="AM19" s="511"/>
      <c r="AN19" s="511"/>
      <c r="AO19" s="511"/>
      <c r="AP19" s="511"/>
      <c r="AQ19" s="1160">
        <v>0</v>
      </c>
    </row>
    <row s="1366" customFormat="1" customHeight="1" ht="12" hidden="1">
      <c r="L20" s="1478"/>
      <c r="M20" s="1362"/>
      <c r="N20" s="1362"/>
      <c r="O20" s="1364" t="s">
        <v>420</v>
      </c>
      <c r="P20" s="1362"/>
      <c r="Q20" s="1442"/>
      <c r="R20" s="1442"/>
      <c r="S20" s="729"/>
      <c r="T20" s="1160" t="s">
        <v>421</v>
      </c>
      <c r="Z20" s="186" t="s">
        <v>422</v>
      </c>
      <c r="AB20" s="186" t="s">
        <v>423</v>
      </c>
      <c r="AC20" s="1160" t="s">
        <v>421</v>
      </c>
      <c r="AG20" s="186" t="s">
        <v>424</v>
      </c>
      <c r="AI20" s="186" t="s">
        <v>423</v>
      </c>
      <c r="AQ20" s="1160">
        <v>0</v>
      </c>
    </row>
    <row customHeight="1" ht="14.25" hidden="1">
      <c r="O21" s="1364"/>
      <c r="AQ21" s="1155">
        <v>0</v>
      </c>
    </row>
    <row customHeight="1" ht="14.25" hidden="1">
      <c r="O22" s="1364"/>
      <c r="AQ22" s="1155">
        <v>0</v>
      </c>
    </row>
    <row customHeight="1" ht="14.699999999999998">
      <c r="Q23" s="376"/>
      <c r="R23" s="376"/>
      <c r="S23" s="1275"/>
      <c r="T23" s="363"/>
      <c r="U23" s="363"/>
      <c r="V23" s="509"/>
      <c r="W23" s="509"/>
      <c r="X23" s="509"/>
      <c r="Y23" s="509"/>
      <c r="Z23" s="509"/>
      <c r="AA23" s="509"/>
      <c r="AB23" s="509"/>
      <c r="AC23" s="509"/>
      <c r="AD23" s="509"/>
      <c r="AE23" s="509"/>
      <c r="AF23" s="509"/>
      <c r="AG23" s="509"/>
      <c r="AH23" s="509"/>
      <c r="AI23" s="509"/>
      <c r="AQ23" s="1155">
        <v>14</v>
      </c>
    </row>
    <row customHeight="1" ht="14.699999999999998">
      <c r="Q24" s="376"/>
      <c r="R24" s="376"/>
      <c r="S24" s="2248" t="str">
        <f>IF(TEMPLATE_GROUP="P",PT_P_FORM_VOTV_4_NAME_FORM,PT_R_FORM_VOTV_16_NAME_FORM)</f>
        <v>Форма 13. Информация о предложении организации водоотведения об установлении расчетной величины тарифов в сфере водоотведения на очередной период регулирования</v>
      </c>
      <c r="T24" s="2248"/>
      <c r="U24" s="2248"/>
      <c r="V24" s="2248"/>
      <c r="W24" s="2248"/>
      <c r="X24" s="2248"/>
      <c r="Y24" s="2248"/>
      <c r="Z24" s="2248"/>
      <c r="AA24" s="2248"/>
      <c r="AB24" s="2248"/>
      <c r="AC24" s="2248"/>
      <c r="AD24" s="2248"/>
      <c r="AE24" s="2248"/>
      <c r="AF24" s="2248"/>
      <c r="AG24" s="2248"/>
      <c r="AH24" s="2248"/>
      <c r="AI24" s="1243"/>
      <c r="AQ24" s="1155">
        <v>14</v>
      </c>
    </row>
    <row customHeight="1" ht="14.699999999999998">
      <c r="Q25" s="376"/>
      <c r="R25" s="376"/>
      <c r="S25" s="2249" t="str">
        <f>IF(org=0,"Не определено",org)</f>
        <v>ПАО "ОГК-2"</v>
      </c>
      <c r="T25" s="2249"/>
      <c r="U25" s="2249"/>
      <c r="V25" s="2249"/>
      <c r="W25" s="2249"/>
      <c r="X25" s="2249"/>
      <c r="Y25" s="2249"/>
      <c r="Z25" s="2249"/>
      <c r="AA25" s="2249"/>
      <c r="AB25" s="2249"/>
      <c r="AC25" s="2249"/>
      <c r="AD25" s="2249"/>
      <c r="AE25" s="2249"/>
      <c r="AF25" s="2249"/>
      <c r="AG25" s="2249"/>
      <c r="AH25" s="2249"/>
      <c r="AI25" s="1243"/>
      <c r="AQ25" s="1155">
        <v>14</v>
      </c>
    </row>
    <row customHeight="1" ht="14.25" hidden="1">
      <c r="Q26" s="376"/>
      <c r="R26" s="376"/>
      <c r="S26" s="1275"/>
      <c r="T26" s="363"/>
      <c r="U26" s="363"/>
      <c r="V26" s="322"/>
      <c r="W26" s="322"/>
      <c r="X26" s="322"/>
      <c r="Y26" s="322"/>
      <c r="Z26" s="322"/>
      <c r="AA26" s="322"/>
      <c r="AB26" s="322"/>
      <c r="AC26" s="322"/>
      <c r="AD26" s="322"/>
      <c r="AE26" s="322"/>
      <c r="AF26" s="322"/>
      <c r="AG26" s="322"/>
      <c r="AH26" s="322"/>
      <c r="AI26" s="322"/>
      <c r="AJ26" s="509"/>
      <c r="AQ26" s="1155">
        <v>0</v>
      </c>
    </row>
    <row s="1853" customFormat="1" customHeight="1" ht="25.5" hidden="1">
      <c r="A27" s="1368"/>
      <c r="B27" s="1368"/>
      <c r="C27" s="1368"/>
      <c r="D27" s="1368"/>
      <c r="E27" s="1368"/>
      <c r="F27" s="1368"/>
      <c r="G27" s="1368"/>
      <c r="H27" s="1368"/>
      <c r="I27" s="1368"/>
      <c r="J27" s="1368"/>
      <c r="K27" s="1368"/>
      <c r="L27" s="1369"/>
      <c r="M27" s="1368"/>
      <c r="N27" s="1368"/>
      <c r="O27" s="1368"/>
      <c r="S27" s="2250" t="s">
        <v>42</v>
      </c>
      <c r="T27" s="2250"/>
      <c r="U27" s="1372"/>
      <c r="V27" s="2251" t="str">
        <f>IF(TITLE_NAME_OR_PR_CHANGE="",IF(TITLE_NAME_OR_PR="","",TITLE_NAME_OR_PR),TITLE_NAME_OR_PR_CHANGE)</f>
        <v/>
      </c>
      <c r="W27" s="2251"/>
      <c r="X27" s="2251"/>
      <c r="Y27" s="2251"/>
      <c r="Z27" s="2251"/>
      <c r="AA27" s="2251"/>
      <c r="AB27" s="326"/>
      <c r="AC27" s="2251" t="str">
        <f>IF(TITLE_NAME_OR_PR_CHANGE="",IF(TITLE_NAME_OR_PR="","",TITLE_NAME_OR_PR),TITLE_NAME_OR_PR_CHANGE)</f>
        <v/>
      </c>
      <c r="AD27" s="2251"/>
      <c r="AE27" s="2251"/>
      <c r="AF27" s="2251"/>
      <c r="AG27" s="2251"/>
      <c r="AH27" s="2251"/>
      <c r="AI27" s="326"/>
      <c r="AJ27" s="326"/>
      <c r="AK27" s="280"/>
      <c r="AL27" s="368"/>
      <c r="AM27" s="368"/>
      <c r="AN27" s="368"/>
      <c r="AO27" s="368"/>
      <c r="AP27" s="368"/>
      <c r="AQ27" s="418">
        <v>0</v>
      </c>
    </row>
    <row s="1853" customFormat="1" customHeight="1" ht="18.75" hidden="1">
      <c r="A28" s="1368"/>
      <c r="B28" s="1368"/>
      <c r="C28" s="1368"/>
      <c r="D28" s="1368"/>
      <c r="E28" s="1368"/>
      <c r="F28" s="1368"/>
      <c r="G28" s="1368"/>
      <c r="H28" s="1368"/>
      <c r="I28" s="1368"/>
      <c r="J28" s="1368"/>
      <c r="K28" s="1368"/>
      <c r="L28" s="1369"/>
      <c r="M28" s="1368"/>
      <c r="N28" s="1368"/>
      <c r="O28" s="1368"/>
      <c r="S28" s="2250" t="s">
        <v>425</v>
      </c>
      <c r="T28" s="2250"/>
      <c r="U28" s="1372"/>
      <c r="V28" s="2264" t="str">
        <f>IF(TITLE_DATE_PR_CHANGE="",IF(TITLE_DATE_PR="","",TITLE_DATE_PR),TITLE_DATE_PR_CHANGE)</f>
        <v/>
      </c>
      <c r="W28" s="2264"/>
      <c r="X28" s="2264"/>
      <c r="Y28" s="2264"/>
      <c r="Z28" s="2264"/>
      <c r="AA28" s="2264"/>
      <c r="AB28" s="326"/>
      <c r="AC28" s="2264" t="str">
        <f>IF(TITLE_DATE_PR_CHANGE="",IF(TITLE_DATE_PR="","",TITLE_DATE_PR),TITLE_DATE_PR_CHANGE)</f>
        <v/>
      </c>
      <c r="AD28" s="2264"/>
      <c r="AE28" s="2264"/>
      <c r="AF28" s="2264"/>
      <c r="AG28" s="2264"/>
      <c r="AH28" s="2264"/>
      <c r="AI28" s="326"/>
      <c r="AJ28" s="326"/>
      <c r="AK28" s="280"/>
      <c r="AL28" s="368"/>
      <c r="AM28" s="368"/>
      <c r="AN28" s="368"/>
      <c r="AO28" s="368"/>
      <c r="AP28" s="368"/>
      <c r="AQ28" s="418">
        <v>0</v>
      </c>
    </row>
    <row s="1853" customFormat="1" customHeight="1" ht="18.75" hidden="1">
      <c r="A29" s="1368"/>
      <c r="B29" s="1368"/>
      <c r="C29" s="1368"/>
      <c r="D29" s="1368"/>
      <c r="E29" s="1368"/>
      <c r="F29" s="1368"/>
      <c r="G29" s="1368"/>
      <c r="H29" s="1368"/>
      <c r="I29" s="1368"/>
      <c r="J29" s="1368"/>
      <c r="K29" s="1368"/>
      <c r="L29" s="1369"/>
      <c r="M29" s="1368"/>
      <c r="N29" s="1368"/>
      <c r="O29" s="1368"/>
      <c r="S29" s="2250" t="s">
        <v>426</v>
      </c>
      <c r="T29" s="2250"/>
      <c r="U29" s="1372"/>
      <c r="V29" s="2251" t="str">
        <f>IF(TITLE_NUMBER_PR_CHANGE="",IF(TITLE_NUMBER_PR="","",TITLE_NUMBER_PR),TITLE_NUMBER_PR_CHANGE)</f>
        <v/>
      </c>
      <c r="W29" s="2251"/>
      <c r="X29" s="2251"/>
      <c r="Y29" s="2251"/>
      <c r="Z29" s="2251"/>
      <c r="AA29" s="2251"/>
      <c r="AB29" s="326"/>
      <c r="AC29" s="2251" t="str">
        <f>IF(TITLE_NUMBER_PR_CHANGE="",IF(TITLE_NUMBER_PR="","",TITLE_NUMBER_PR),TITLE_NUMBER_PR_CHANGE)</f>
        <v/>
      </c>
      <c r="AD29" s="2251"/>
      <c r="AE29" s="2251"/>
      <c r="AF29" s="2251"/>
      <c r="AG29" s="2251"/>
      <c r="AH29" s="2251"/>
      <c r="AI29" s="326"/>
      <c r="AJ29" s="326"/>
      <c r="AK29" s="280"/>
      <c r="AL29" s="368"/>
      <c r="AM29" s="368"/>
      <c r="AN29" s="368"/>
      <c r="AO29" s="368"/>
      <c r="AP29" s="368"/>
      <c r="AQ29" s="418">
        <v>0</v>
      </c>
    </row>
    <row s="1853" customFormat="1" customHeight="1" ht="18.75" hidden="1">
      <c r="A30" s="1368"/>
      <c r="B30" s="1368"/>
      <c r="C30" s="1368"/>
      <c r="D30" s="1368"/>
      <c r="E30" s="1368"/>
      <c r="F30" s="1368"/>
      <c r="G30" s="1368"/>
      <c r="H30" s="1368"/>
      <c r="I30" s="1368"/>
      <c r="J30" s="1368"/>
      <c r="K30" s="1368"/>
      <c r="L30" s="1369"/>
      <c r="M30" s="1368"/>
      <c r="N30" s="1368"/>
      <c r="O30" s="1368"/>
      <c r="S30" s="2250" t="s">
        <v>43</v>
      </c>
      <c r="T30" s="2250"/>
      <c r="U30" s="1372"/>
      <c r="V30" s="2251" t="str">
        <f>IF(TITLE_IST_PUB_CHANGE="",IF(TITLE_IST_PUB="","",TITLE_IST_PUB),TITLE_IST_PUB_CHANGE)</f>
        <v/>
      </c>
      <c r="W30" s="2251"/>
      <c r="X30" s="2251"/>
      <c r="Y30" s="2251"/>
      <c r="Z30" s="2251"/>
      <c r="AA30" s="2251"/>
      <c r="AB30" s="326"/>
      <c r="AC30" s="2251" t="str">
        <f>IF(TITLE_IST_PUB_CHANGE="",IF(TITLE_IST_PUB="","",TITLE_IST_PUB),TITLE_IST_PUB_CHANGE)</f>
        <v/>
      </c>
      <c r="AD30" s="2251"/>
      <c r="AE30" s="2251"/>
      <c r="AF30" s="2251"/>
      <c r="AG30" s="2251"/>
      <c r="AH30" s="2251"/>
      <c r="AI30" s="326"/>
      <c r="AJ30" s="326"/>
      <c r="AK30" s="280"/>
      <c r="AL30" s="368"/>
      <c r="AM30" s="368"/>
      <c r="AN30" s="368"/>
      <c r="AO30" s="368"/>
      <c r="AP30" s="368"/>
      <c r="AQ30" s="418">
        <v>0</v>
      </c>
    </row>
    <row customHeight="1" ht="14.25" hidden="1">
      <c r="Q31" s="376"/>
      <c r="R31" s="376"/>
      <c r="S31" s="1275"/>
      <c r="T31" s="363"/>
      <c r="U31" s="363"/>
      <c r="V31" s="322"/>
      <c r="W31" s="322"/>
      <c r="X31" s="322"/>
      <c r="Y31" s="322"/>
      <c r="Z31" s="322"/>
      <c r="AA31" s="322"/>
      <c r="AB31" s="322"/>
      <c r="AC31" s="322"/>
      <c r="AD31" s="322"/>
      <c r="AE31" s="322"/>
      <c r="AF31" s="322"/>
      <c r="AG31" s="322"/>
      <c r="AH31" s="322"/>
      <c r="AI31" s="322"/>
      <c r="AJ31" s="509"/>
      <c r="AQ31" s="1155">
        <v>0</v>
      </c>
    </row>
    <row s="1853" customFormat="1" customHeight="1" ht="18.75" hidden="1">
      <c r="A32" s="1368"/>
      <c r="B32" s="1368"/>
      <c r="C32" s="1368"/>
      <c r="D32" s="1368"/>
      <c r="E32" s="1368"/>
      <c r="F32" s="1368"/>
      <c r="G32" s="1368"/>
      <c r="H32" s="1368"/>
      <c r="I32" s="1368"/>
      <c r="J32" s="1368"/>
      <c r="K32" s="1368"/>
      <c r="L32" s="1369"/>
      <c r="M32" s="1368"/>
      <c r="N32" s="1368"/>
      <c r="O32" s="1368"/>
      <c r="S32" s="2250" t="s">
        <v>427</v>
      </c>
      <c r="T32" s="2250"/>
      <c r="U32" s="1372"/>
      <c r="V32" s="2264" t="str">
        <f>IF(TITLE_DATE_PR_CHANGE="",IF(TITLE_DATE_PR="","",TITLE_DATE_PR),TITLE_DATE_PR_CHANGE)</f>
        <v/>
      </c>
      <c r="W32" s="2264"/>
      <c r="X32" s="2264"/>
      <c r="Y32" s="2264"/>
      <c r="Z32" s="2264"/>
      <c r="AA32" s="2264"/>
      <c r="AB32" s="326"/>
      <c r="AC32" s="2264" t="str">
        <f>IF(TITLE_DATE_PR_CHANGE="",IF(TITLE_DATE_PR="","",TITLE_DATE_PR),TITLE_DATE_PR_CHANGE)</f>
        <v/>
      </c>
      <c r="AD32" s="2264"/>
      <c r="AE32" s="2264"/>
      <c r="AF32" s="2264"/>
      <c r="AG32" s="2264"/>
      <c r="AH32" s="2264"/>
      <c r="AI32" s="326"/>
      <c r="AJ32" s="326"/>
      <c r="AK32" s="280"/>
      <c r="AL32" s="368"/>
      <c r="AM32" s="368"/>
      <c r="AN32" s="368"/>
      <c r="AO32" s="368"/>
      <c r="AP32" s="368"/>
      <c r="AQ32" s="418">
        <v>0</v>
      </c>
    </row>
    <row s="1853" customFormat="1" customHeight="1" ht="18.75" hidden="1">
      <c r="A33" s="1368"/>
      <c r="B33" s="1368"/>
      <c r="C33" s="1368"/>
      <c r="D33" s="1368"/>
      <c r="E33" s="1368"/>
      <c r="F33" s="1368"/>
      <c r="G33" s="1368"/>
      <c r="H33" s="1368"/>
      <c r="I33" s="1368"/>
      <c r="J33" s="1368"/>
      <c r="K33" s="1368"/>
      <c r="L33" s="1369"/>
      <c r="M33" s="1368"/>
      <c r="N33" s="1368"/>
      <c r="O33" s="1368"/>
      <c r="S33" s="2250" t="s">
        <v>428</v>
      </c>
      <c r="T33" s="2250"/>
      <c r="U33" s="1372"/>
      <c r="V33" s="2251" t="str">
        <f>IF(TITLE_NUMBER_PR_CHANGE="",IF(TITLE_NUMBER_PR="","",TITLE_NUMBER_PR),TITLE_NUMBER_PR_CHANGE)</f>
        <v/>
      </c>
      <c r="W33" s="2251"/>
      <c r="X33" s="2251"/>
      <c r="Y33" s="2251"/>
      <c r="Z33" s="2251"/>
      <c r="AA33" s="2251"/>
      <c r="AB33" s="326"/>
      <c r="AC33" s="2251" t="str">
        <f>IF(TITLE_NUMBER_PR_CHANGE="",IF(TITLE_NUMBER_PR="","",TITLE_NUMBER_PR),TITLE_NUMBER_PR_CHANGE)</f>
        <v/>
      </c>
      <c r="AD33" s="2251"/>
      <c r="AE33" s="2251"/>
      <c r="AF33" s="2251"/>
      <c r="AG33" s="2251"/>
      <c r="AH33" s="2251"/>
      <c r="AI33" s="326"/>
      <c r="AJ33" s="326"/>
      <c r="AK33" s="280"/>
      <c r="AL33" s="368"/>
      <c r="AM33" s="368"/>
      <c r="AN33" s="368"/>
      <c r="AO33" s="368"/>
      <c r="AP33" s="368"/>
      <c r="AQ33" s="418">
        <v>0</v>
      </c>
    </row>
    <row s="1853" customFormat="1" customHeight="1" ht="1.05">
      <c r="A34" s="1368"/>
      <c r="B34" s="1368"/>
      <c r="C34" s="1368"/>
      <c r="D34" s="1368"/>
      <c r="E34" s="1368"/>
      <c r="F34" s="1368"/>
      <c r="G34" s="1368"/>
      <c r="H34" s="1368"/>
      <c r="I34" s="1368"/>
      <c r="J34" s="1368"/>
      <c r="K34" s="1368"/>
      <c r="L34" s="1369"/>
      <c r="M34" s="1368"/>
      <c r="N34" s="1368"/>
      <c r="O34" s="1368"/>
      <c r="S34" s="323"/>
      <c r="T34" s="323"/>
      <c r="U34" s="1488"/>
      <c r="V34" s="326"/>
      <c r="W34" s="326"/>
      <c r="X34" s="326"/>
      <c r="Y34" s="326"/>
      <c r="Z34" s="326"/>
      <c r="AA34" s="326"/>
      <c r="AB34" s="278" t="s">
        <v>429</v>
      </c>
      <c r="AC34" s="326"/>
      <c r="AD34" s="326"/>
      <c r="AE34" s="326"/>
      <c r="AF34" s="326"/>
      <c r="AG34" s="326"/>
      <c r="AH34" s="326"/>
      <c r="AI34" s="278" t="s">
        <v>429</v>
      </c>
      <c r="AL34" s="368"/>
      <c r="AM34" s="368"/>
      <c r="AN34" s="368"/>
      <c r="AO34" s="368"/>
      <c r="AP34" s="368"/>
      <c r="AQ34" s="418">
        <v>1</v>
      </c>
    </row>
    <row customHeight="1" ht="14.699999999999998">
      <c r="Q35" s="376"/>
      <c r="R35" s="376"/>
      <c r="S35" s="1275"/>
      <c r="T35" s="363"/>
      <c r="U35" s="1244"/>
      <c r="V35" s="2252"/>
      <c r="W35" s="2252"/>
      <c r="X35" s="2252"/>
      <c r="Y35" s="2252"/>
      <c r="Z35" s="2252"/>
      <c r="AA35" s="2252"/>
      <c r="AB35" s="2252"/>
      <c r="AC35" s="2252"/>
      <c r="AD35" s="2252"/>
      <c r="AE35" s="2252"/>
      <c r="AF35" s="2252"/>
      <c r="AG35" s="2252"/>
      <c r="AH35" s="2252"/>
      <c r="AI35" s="2252"/>
      <c r="AQ35" s="1155">
        <v>14</v>
      </c>
    </row>
    <row customHeight="1" ht="14.699999999999998">
      <c r="Q36" s="376"/>
      <c r="R36" s="376"/>
      <c r="S36" s="2127" t="s">
        <v>302</v>
      </c>
      <c r="T36" s="2127"/>
      <c r="U36" s="2127"/>
      <c r="V36" s="2127"/>
      <c r="W36" s="2127"/>
      <c r="X36" s="2127"/>
      <c r="Y36" s="2127"/>
      <c r="Z36" s="2127"/>
      <c r="AA36" s="2127"/>
      <c r="AB36" s="2127"/>
      <c r="AC36" s="2127"/>
      <c r="AD36" s="2127"/>
      <c r="AE36" s="2127"/>
      <c r="AF36" s="2127"/>
      <c r="AG36" s="2127"/>
      <c r="AH36" s="2127"/>
      <c r="AI36" s="2127"/>
      <c r="AJ36" s="2127"/>
      <c r="AK36" s="2127" t="s">
        <v>303</v>
      </c>
      <c r="AQ36" s="1155">
        <v>14</v>
      </c>
    </row>
    <row customHeight="1" ht="14.699999999999998">
      <c r="Q37" s="376"/>
      <c r="R37" s="376"/>
      <c r="S37" s="2273" t="s">
        <v>88</v>
      </c>
      <c r="T37" s="2209" t="s">
        <v>430</v>
      </c>
      <c r="U37" s="301"/>
      <c r="V37" s="2274" t="s">
        <v>431</v>
      </c>
      <c r="W37" s="2275"/>
      <c r="X37" s="2275"/>
      <c r="Y37" s="2275"/>
      <c r="Z37" s="2275"/>
      <c r="AA37" s="2276"/>
      <c r="AB37" s="2277" t="s">
        <v>432</v>
      </c>
      <c r="AC37" s="2274" t="s">
        <v>431</v>
      </c>
      <c r="AD37" s="2275"/>
      <c r="AE37" s="2275"/>
      <c r="AF37" s="2275"/>
      <c r="AG37" s="2275"/>
      <c r="AH37" s="2276"/>
      <c r="AI37" s="2277" t="s">
        <v>433</v>
      </c>
      <c r="AJ37" s="2280" t="s">
        <v>434</v>
      </c>
      <c r="AK37" s="2127"/>
      <c r="AQ37" s="1155">
        <v>14</v>
      </c>
    </row>
    <row customHeight="1" ht="35.699999999999996">
      <c r="Q38" s="376"/>
      <c r="R38" s="376"/>
      <c r="S38" s="2273"/>
      <c r="T38" s="2209"/>
      <c r="U38" s="1031"/>
      <c r="V38" s="1483" t="s">
        <v>491</v>
      </c>
      <c r="W38" s="2262" t="s">
        <v>437</v>
      </c>
      <c r="X38" s="2263"/>
      <c r="Y38" s="2262" t="s">
        <v>438</v>
      </c>
      <c r="Z38" s="2269"/>
      <c r="AA38" s="2263"/>
      <c r="AB38" s="2278"/>
      <c r="AC38" s="1483" t="s">
        <v>491</v>
      </c>
      <c r="AD38" s="2262" t="s">
        <v>437</v>
      </c>
      <c r="AE38" s="2263"/>
      <c r="AF38" s="2262" t="s">
        <v>438</v>
      </c>
      <c r="AG38" s="2269"/>
      <c r="AH38" s="2263"/>
      <c r="AI38" s="2278"/>
      <c r="AJ38" s="2281"/>
      <c r="AK38" s="2127"/>
      <c r="AQ38" s="1155">
        <v>34</v>
      </c>
    </row>
    <row customHeight="1" ht="90.3">
      <c r="A39" s="1370"/>
      <c r="B39" s="1370" t="s">
        <v>139</v>
      </c>
      <c r="C39" s="1370" t="s">
        <v>140</v>
      </c>
      <c r="D39" s="1370" t="s">
        <v>141</v>
      </c>
      <c r="E39" s="1364" t="s">
        <v>439</v>
      </c>
      <c r="F39" s="1364" t="s">
        <v>440</v>
      </c>
      <c r="G39" s="1364" t="s">
        <v>441</v>
      </c>
      <c r="H39" s="1364"/>
      <c r="I39" s="1364" t="s">
        <v>492</v>
      </c>
      <c r="J39" s="1364" t="s">
        <v>444</v>
      </c>
      <c r="K39" s="1364" t="s">
        <v>493</v>
      </c>
      <c r="L39" s="1364" t="s">
        <v>420</v>
      </c>
      <c r="Q39" s="376"/>
      <c r="R39" s="376"/>
      <c r="S39" s="2273"/>
      <c r="T39" s="2209"/>
      <c r="U39" s="302"/>
      <c r="V39" s="1483" t="s">
        <v>520</v>
      </c>
      <c r="W39" s="1222" t="s">
        <v>521</v>
      </c>
      <c r="X39" s="1222" t="s">
        <v>496</v>
      </c>
      <c r="Y39" s="1489" t="s">
        <v>448</v>
      </c>
      <c r="Z39" s="2270" t="s">
        <v>449</v>
      </c>
      <c r="AA39" s="2271"/>
      <c r="AB39" s="2279"/>
      <c r="AC39" s="1483" t="s">
        <v>520</v>
      </c>
      <c r="AD39" s="1222" t="s">
        <v>521</v>
      </c>
      <c r="AE39" s="1222" t="s">
        <v>496</v>
      </c>
      <c r="AF39" s="1489" t="s">
        <v>448</v>
      </c>
      <c r="AG39" s="2270" t="s">
        <v>449</v>
      </c>
      <c r="AH39" s="2271"/>
      <c r="AI39" s="2279"/>
      <c r="AJ39" s="2282"/>
      <c r="AK39" s="2127"/>
      <c r="AQ39" s="1155">
        <v>86</v>
      </c>
    </row>
    <row s="1641" customFormat="1" customHeight="1" ht="11.25" hidden="1">
      <c r="A40" s="1370"/>
      <c r="B40" s="1370"/>
      <c r="C40" s="1370"/>
      <c r="D40" s="1370"/>
      <c r="E40" s="1370"/>
      <c r="F40" s="1370"/>
      <c r="G40" s="1370"/>
      <c r="H40" s="1370"/>
      <c r="I40" s="1370"/>
      <c r="J40" s="1370"/>
      <c r="K40" s="1370"/>
      <c r="L40" s="1364"/>
      <c r="M40" s="1362"/>
      <c r="N40" s="1362"/>
      <c r="O40" s="1362"/>
      <c r="P40" s="1246"/>
      <c r="Q40" s="1247"/>
      <c r="R40" s="1254">
        <v>1</v>
      </c>
      <c r="S40" s="1277" t="s">
        <v>109</v>
      </c>
      <c r="T40" s="1255" t="s">
        <v>110</v>
      </c>
      <c r="U40" s="1245" t="str">
        <f>OFFSET(U40,0,-1)</f>
        <v>2</v>
      </c>
      <c r="V40" s="1482">
        <f>OFFSET(V40,0,-1)+1</f>
        <v>3</v>
      </c>
      <c r="W40" s="1482">
        <f>OFFSET(W40,0,-1)+1</f>
        <v>4</v>
      </c>
      <c r="X40" s="1482">
        <f>OFFSET(X40,0,-1)+1</f>
        <v>5</v>
      </c>
      <c r="Y40" s="1482">
        <f>OFFSET(Y40,0,-1)+1</f>
        <v>6</v>
      </c>
      <c r="Z40" s="2272">
        <f>OFFSET(Z40,0,-1)+1</f>
        <v>7</v>
      </c>
      <c r="AA40" s="2272"/>
      <c r="AB40" s="1482">
        <f>OFFSET(AB40,0,-2)+1</f>
        <v>8</v>
      </c>
      <c r="AC40" s="1482">
        <f>OFFSET(AC40,0,-1)+1</f>
        <v>9</v>
      </c>
      <c r="AD40" s="1482">
        <f>OFFSET(AD40,0,-1)+1</f>
        <v>10</v>
      </c>
      <c r="AE40" s="1482">
        <f>OFFSET(AE40,0,-1)+1</f>
        <v>11</v>
      </c>
      <c r="AF40" s="1482">
        <f>OFFSET(AF40,0,-1)+1</f>
        <v>12</v>
      </c>
      <c r="AG40" s="2272">
        <f>OFFSET(AG40,0,-1)+1</f>
        <v>13</v>
      </c>
      <c r="AH40" s="2272"/>
      <c r="AI40" s="1482">
        <f>OFFSET(AI40,0,-2)+1</f>
        <v>14</v>
      </c>
      <c r="AJ40" s="1245">
        <f>OFFSET(AJ40,0,-1)</f>
        <v>14</v>
      </c>
      <c r="AK40" s="1482">
        <f>OFFSET(AK40,0,-1)+1</f>
        <v>15</v>
      </c>
      <c r="AL40" s="511"/>
      <c r="AM40" s="511"/>
      <c r="AN40" s="511"/>
      <c r="AO40" s="511"/>
      <c r="AP40" s="511"/>
      <c r="AQ40" s="496">
        <v>0</v>
      </c>
    </row>
    <row customHeight="1" ht="24">
      <c r="A41" s="1363" t="s">
        <v>268</v>
      </c>
      <c r="B41" s="1363"/>
      <c r="C41" s="1363"/>
      <c r="D41" s="1363"/>
      <c r="E41" s="2258">
        <v>1</v>
      </c>
      <c r="F41" s="1363"/>
      <c r="G41" s="1363"/>
      <c r="H41" s="1363"/>
      <c r="I41" s="1363"/>
      <c r="J41" s="1363"/>
      <c r="K41" s="1363"/>
      <c r="L41" s="1364"/>
      <c r="M41" s="1365"/>
      <c r="N41" s="1365"/>
      <c r="O41" s="1365"/>
      <c r="P41" s="361"/>
      <c r="Q41" s="360"/>
      <c r="R41" s="355"/>
      <c r="S41" s="1493">
        <f>INDEX(PT_DIFFERENTIATION_NUM_NTAR,MATCH(A41,PT_DIFFERENTIATION_NTAR_ID,0))</f>
        <v>0</v>
      </c>
      <c r="T41" s="298" t="s">
        <v>127</v>
      </c>
      <c r="U41" s="300"/>
      <c r="V41" s="2242"/>
      <c r="W41" s="2243"/>
      <c r="X41" s="2243"/>
      <c r="Y41" s="2243"/>
      <c r="Z41" s="2243"/>
      <c r="AA41" s="2243"/>
      <c r="AB41" s="2244"/>
      <c r="AC41" s="2242" t="str">
        <f>INDEX(PT_DIFFERENTIATION_NTAR,MATCH(A41,PT_DIFFERENTIATION_NTAR_ID,0))</f>
        <v/>
      </c>
      <c r="AD41" s="2243"/>
      <c r="AE41" s="2243"/>
      <c r="AF41" s="2243"/>
      <c r="AG41" s="2243"/>
      <c r="AH41" s="2243"/>
      <c r="AI41" s="2243"/>
      <c r="AJ41" s="2244"/>
      <c r="AK41"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00"/>
      <c r="AN41" s="500" t="str">
        <f>IF(T41="","",T41)</f>
        <v>Наименование тарифа</v>
      </c>
      <c r="AO41" s="500"/>
      <c r="AP41" s="500"/>
      <c r="AQ41" s="1155">
        <v>23</v>
      </c>
    </row>
    <row customHeight="1" ht="24">
      <c r="A42" s="1363" t="s">
        <v>268</v>
      </c>
      <c r="B42" s="1363" t="s">
        <v>269</v>
      </c>
      <c r="C42" s="1363"/>
      <c r="D42" s="1363"/>
      <c r="E42" s="2259"/>
      <c r="F42" s="2258">
        <v>1</v>
      </c>
      <c r="G42" s="1363"/>
      <c r="H42" s="1363"/>
      <c r="I42" s="1363"/>
      <c r="J42" s="1363"/>
      <c r="K42" s="1363"/>
      <c r="L42" s="1364"/>
      <c r="M42" s="1365"/>
      <c r="N42" s="1365"/>
      <c r="O42" s="1365"/>
      <c r="P42" s="1487"/>
      <c r="Q42" s="352"/>
      <c r="R42" s="353"/>
      <c r="S42" s="1493" t="str">
        <f>INDEX(PT_DIFFERENTIATION_NUM_TER,MATCH(B42,PT_DIFFERENTIATION_TER_ID,0))</f>
        <v>.</v>
      </c>
      <c r="T42" s="308" t="s">
        <v>399</v>
      </c>
      <c r="U42" s="300"/>
      <c r="V42" s="2242"/>
      <c r="W42" s="2243"/>
      <c r="X42" s="2243"/>
      <c r="Y42" s="2243"/>
      <c r="Z42" s="2243"/>
      <c r="AA42" s="2243"/>
      <c r="AB42" s="2244"/>
      <c r="AC42" s="2242" t="str">
        <f>INDEX(PT_DIFFERENTIATION_TER,MATCH(B42,PT_DIFFERENTIATION_TER_ID,0))</f>
        <v/>
      </c>
      <c r="AD42" s="2243"/>
      <c r="AE42" s="2243"/>
      <c r="AF42" s="2243"/>
      <c r="AG42" s="2243"/>
      <c r="AH42" s="2243"/>
      <c r="AI42" s="2243"/>
      <c r="AJ42" s="2244"/>
      <c r="AK42" s="1258" t="s">
        <v>400</v>
      </c>
      <c r="AM42" s="500"/>
      <c r="AN42" s="500" t="str">
        <f>IF(T42="","",T42)</f>
        <v>Территория действия тарифа</v>
      </c>
      <c r="AO42" s="500"/>
      <c r="AP42" s="500"/>
      <c r="AQ42" s="1155">
        <v>23</v>
      </c>
    </row>
    <row customHeight="1" ht="24">
      <c r="A43" s="1363" t="s">
        <v>268</v>
      </c>
      <c r="B43" s="1363" t="s">
        <v>269</v>
      </c>
      <c r="C43" s="1363" t="s">
        <v>270</v>
      </c>
      <c r="D43" s="1363"/>
      <c r="E43" s="2259"/>
      <c r="F43" s="2259"/>
      <c r="G43" s="2258">
        <v>1</v>
      </c>
      <c r="H43" s="1363"/>
      <c r="I43" s="1363"/>
      <c r="J43" s="1363"/>
      <c r="K43" s="1363"/>
      <c r="L43" s="1364"/>
      <c r="M43" s="1365"/>
      <c r="N43" s="1365"/>
      <c r="O43" s="1365"/>
      <c r="P43" s="354"/>
      <c r="Q43" s="352"/>
      <c r="R43" s="353"/>
      <c r="S43" s="1493" t="str">
        <f>INDEX(PT_DIFFERENTIATION_NUM_CS,MATCH(C43,PT_DIFFERENTIATION_CS_ID,0))</f>
        <v>..</v>
      </c>
      <c r="T43" s="309" t="s">
        <v>518</v>
      </c>
      <c r="U43" s="300"/>
      <c r="V43" s="2242"/>
      <c r="W43" s="2243"/>
      <c r="X43" s="2243"/>
      <c r="Y43" s="2243"/>
      <c r="Z43" s="2243"/>
      <c r="AA43" s="2243"/>
      <c r="AB43" s="2244"/>
      <c r="AC43" s="2242" t="str">
        <f>INDEX(PT_DIFFERENTIATION_CS,MATCH(C43,PT_DIFFERENTIATION_CS_ID,0))</f>
        <v/>
      </c>
      <c r="AD43" s="2243"/>
      <c r="AE43" s="2243"/>
      <c r="AF43" s="2243"/>
      <c r="AG43" s="2243"/>
      <c r="AH43" s="2243"/>
      <c r="AI43" s="2243"/>
      <c r="AJ43" s="2244"/>
      <c r="AK43" s="1258" t="s">
        <v>519</v>
      </c>
      <c r="AM43" s="500"/>
      <c r="AN43" s="500" t="str">
        <f>IF(T43="","",T43)</f>
        <v>Наименование централизованной системы водоотведения</v>
      </c>
      <c r="AO43" s="500"/>
      <c r="AP43" s="500"/>
      <c r="AQ43" s="1155">
        <v>23</v>
      </c>
    </row>
    <row customHeight="1" ht="24">
      <c r="A44" s="1363" t="s">
        <v>268</v>
      </c>
      <c r="B44" s="1363" t="s">
        <v>269</v>
      </c>
      <c r="C44" s="1363" t="s">
        <v>270</v>
      </c>
      <c r="D44" s="1363" t="s">
        <v>522</v>
      </c>
      <c r="E44" s="2259"/>
      <c r="F44" s="2259"/>
      <c r="G44" s="2259"/>
      <c r="H44" s="2259"/>
      <c r="I44" s="2256" t="str">
        <f>S43&amp;".1"</f>
        <v>...1</v>
      </c>
      <c r="J44" s="1363"/>
      <c r="K44" s="1363"/>
      <c r="L44" s="1364"/>
      <c r="P44" s="2257">
        <v>1</v>
      </c>
      <c r="Q44" s="1481"/>
      <c r="R44" s="356"/>
      <c r="S44" s="1493" t="str">
        <f>$I44</f>
        <v>...1</v>
      </c>
      <c r="T44" s="285" t="s">
        <v>485</v>
      </c>
      <c r="U44" s="300"/>
      <c r="V44" s="2350"/>
      <c r="W44" s="2351"/>
      <c r="X44" s="2351"/>
      <c r="Y44" s="2351"/>
      <c r="Z44" s="2351"/>
      <c r="AA44" s="2351"/>
      <c r="AB44" s="2352"/>
      <c r="AC44" s="2353"/>
      <c r="AD44" s="2354"/>
      <c r="AE44" s="2354"/>
      <c r="AF44" s="2354"/>
      <c r="AG44" s="2354"/>
      <c r="AH44" s="2354"/>
      <c r="AI44" s="2354"/>
      <c r="AJ44" s="2355"/>
      <c r="AK44" s="1258" t="s">
        <v>486</v>
      </c>
      <c r="AM44" s="500"/>
      <c r="AN44" s="500" t="str">
        <f>IF(T44="","",T44)</f>
        <v>Наименование признака дифференциации</v>
      </c>
      <c r="AO44" s="500"/>
      <c r="AP44" s="500"/>
      <c r="AQ44" s="1155">
        <v>23</v>
      </c>
    </row>
    <row customHeight="1" ht="24">
      <c r="A45" s="1363" t="s">
        <v>268</v>
      </c>
      <c r="B45" s="1363" t="s">
        <v>269</v>
      </c>
      <c r="C45" s="1363" t="s">
        <v>270</v>
      </c>
      <c r="D45" s="1363" t="s">
        <v>522</v>
      </c>
      <c r="E45" s="2259"/>
      <c r="F45" s="2259"/>
      <c r="G45" s="2259"/>
      <c r="H45" s="2259"/>
      <c r="I45" s="2286"/>
      <c r="J45" s="2256" t="str">
        <f>I44&amp;".1"</f>
        <v>...1.1</v>
      </c>
      <c r="K45" s="1363"/>
      <c r="L45" s="1364" t="s">
        <v>408</v>
      </c>
      <c r="P45" s="2257"/>
      <c r="Q45" s="2257">
        <v>1</v>
      </c>
      <c r="R45" s="357"/>
      <c r="S45" s="1493" t="str">
        <f>$J45</f>
        <v>...1.1</v>
      </c>
      <c r="T45" s="286" t="s">
        <v>409</v>
      </c>
      <c r="U45" s="300"/>
      <c r="V45" s="2245"/>
      <c r="W45" s="2246"/>
      <c r="X45" s="2246"/>
      <c r="Y45" s="2246"/>
      <c r="Z45" s="2246"/>
      <c r="AA45" s="2246"/>
      <c r="AB45" s="2247"/>
      <c r="AC45" s="2245"/>
      <c r="AD45" s="2246"/>
      <c r="AE45" s="2246"/>
      <c r="AF45" s="2246"/>
      <c r="AG45" s="2246"/>
      <c r="AH45" s="2246"/>
      <c r="AI45" s="2246"/>
      <c r="AJ45" s="2247"/>
      <c r="AK45" s="1307" t="s">
        <v>487</v>
      </c>
      <c r="AM45" s="500"/>
      <c r="AN45" s="500" t="str">
        <f>IF(T45="","",T45)</f>
        <v>Группа потребителей</v>
      </c>
      <c r="AO45" s="500"/>
      <c r="AP45" s="500"/>
      <c r="AQ45" s="1155">
        <v>23</v>
      </c>
    </row>
    <row customHeight="1" ht="24">
      <c r="A46" s="1363" t="s">
        <v>268</v>
      </c>
      <c r="B46" s="1363" t="s">
        <v>269</v>
      </c>
      <c r="C46" s="1363" t="s">
        <v>270</v>
      </c>
      <c r="D46" s="1363" t="s">
        <v>522</v>
      </c>
      <c r="E46" s="2259"/>
      <c r="F46" s="2259"/>
      <c r="G46" s="2259"/>
      <c r="H46" s="2259"/>
      <c r="I46" s="2286"/>
      <c r="J46" s="2286"/>
      <c r="K46" s="2256" t="str">
        <f>J45&amp;".1"</f>
        <v>...1.1.1</v>
      </c>
      <c r="L46" s="1364"/>
      <c r="P46" s="2257"/>
      <c r="Q46" s="2257"/>
      <c r="R46" s="357">
        <v>1</v>
      </c>
      <c r="S46" s="1493" t="str">
        <f>$K46</f>
        <v>...1.1.1</v>
      </c>
      <c r="T46" s="1437"/>
      <c r="U46" s="300"/>
      <c r="V46" s="1360"/>
      <c r="W46" s="1360"/>
      <c r="X46" s="1361"/>
      <c r="Y46" s="2267"/>
      <c r="Z46" s="2268" t="s">
        <v>66</v>
      </c>
      <c r="AA46" s="2267"/>
      <c r="AB46" s="2268" t="s">
        <v>66</v>
      </c>
      <c r="AC46" s="751"/>
      <c r="AD46" s="751"/>
      <c r="AE46" s="1257"/>
      <c r="AF46" s="2265"/>
      <c r="AG46" s="2107" t="s">
        <v>66</v>
      </c>
      <c r="AH46" s="2287"/>
      <c r="AI46" s="2107" t="s">
        <v>19</v>
      </c>
      <c r="AJ46" s="1438"/>
      <c r="AK46" s="234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1">
        <f>STRCHECKDATE(V47:AJ47)</f>
      </c>
      <c r="AM46" s="500"/>
      <c r="AN46" s="500" t="str">
        <f>IF(T46="","",T46)</f>
        <v/>
      </c>
      <c r="AO46" s="500"/>
      <c r="AP46" s="500"/>
      <c r="AQ46" s="1155">
        <v>23</v>
      </c>
    </row>
    <row customHeight="1" ht="0">
      <c r="A47" s="1363" t="s">
        <v>268</v>
      </c>
      <c r="B47" s="1363" t="s">
        <v>269</v>
      </c>
      <c r="C47" s="1363" t="s">
        <v>270</v>
      </c>
      <c r="D47" s="1363" t="s">
        <v>522</v>
      </c>
      <c r="E47" s="2259"/>
      <c r="F47" s="2259"/>
      <c r="G47" s="2259"/>
      <c r="H47" s="2259"/>
      <c r="I47" s="2286"/>
      <c r="J47" s="2286"/>
      <c r="K47" s="2256"/>
      <c r="L47" s="1364"/>
      <c r="P47" s="2257"/>
      <c r="Q47" s="2257"/>
      <c r="R47" s="357"/>
      <c r="S47" s="1490"/>
      <c r="T47" s="300"/>
      <c r="U47" s="300"/>
      <c r="V47" s="1360"/>
      <c r="W47" s="1360"/>
      <c r="X47" s="328" t="str">
        <f>Y46&amp;"-"&amp;AA46</f>
        <v>-</v>
      </c>
      <c r="Y47" s="2268"/>
      <c r="Z47" s="2268"/>
      <c r="AA47" s="2268"/>
      <c r="AB47" s="2268"/>
      <c r="AC47" s="325"/>
      <c r="AD47" s="325"/>
      <c r="AE47" s="328" t="str">
        <f>AF46&amp;"-"&amp;AH46</f>
        <v>-</v>
      </c>
      <c r="AF47" s="2266"/>
      <c r="AG47" s="2107"/>
      <c r="AH47" s="2288"/>
      <c r="AI47" s="2107"/>
      <c r="AJ47" s="1439"/>
      <c r="AK47" s="2349"/>
      <c r="AM47" s="500"/>
      <c r="AN47" s="500" t="str">
        <f>IF(T47="","",T47)</f>
        <v/>
      </c>
      <c r="AO47" s="500"/>
      <c r="AP47" s="500"/>
      <c r="AQ47" s="1155">
        <v>0</v>
      </c>
    </row>
    <row customHeight="1" ht="21">
      <c r="A48" s="1363" t="s">
        <v>268</v>
      </c>
      <c r="B48" s="1363" t="s">
        <v>269</v>
      </c>
      <c r="C48" s="1363" t="s">
        <v>270</v>
      </c>
      <c r="D48" s="1363" t="s">
        <v>522</v>
      </c>
      <c r="E48" s="2259"/>
      <c r="F48" s="2259"/>
      <c r="G48" s="2259"/>
      <c r="H48" s="2259"/>
      <c r="I48" s="2286"/>
      <c r="J48" s="2256"/>
      <c r="K48" s="1363"/>
      <c r="L48" s="1364"/>
      <c r="P48" s="2257"/>
      <c r="Q48" s="2257"/>
      <c r="R48" s="356"/>
      <c r="S48" s="1278"/>
      <c r="T48" s="287" t="s">
        <v>488</v>
      </c>
      <c r="U48" s="367"/>
      <c r="V48" s="367"/>
      <c r="W48" s="367"/>
      <c r="X48" s="367"/>
      <c r="Y48" s="367"/>
      <c r="Z48" s="367"/>
      <c r="AA48" s="367"/>
      <c r="AB48" s="367"/>
      <c r="AC48" s="367"/>
      <c r="AD48" s="367"/>
      <c r="AE48" s="367"/>
      <c r="AF48" s="367"/>
      <c r="AG48" s="367"/>
      <c r="AH48" s="367"/>
      <c r="AI48" s="367"/>
      <c r="AJ48" s="367"/>
      <c r="AK48" s="1258" t="s">
        <v>489</v>
      </c>
      <c r="AM48" s="500"/>
      <c r="AN48" s="500" t="str">
        <f>IF(T48="","",T48)</f>
        <v>Добавить значение признака дифференциации</v>
      </c>
      <c r="AO48" s="500"/>
      <c r="AP48" s="500"/>
      <c r="AQ48" s="1155">
        <v>20</v>
      </c>
    </row>
    <row customHeight="1" ht="22.049999999999997">
      <c r="A49" s="1363" t="s">
        <v>268</v>
      </c>
      <c r="B49" s="1363" t="s">
        <v>269</v>
      </c>
      <c r="C49" s="1363" t="s">
        <v>270</v>
      </c>
      <c r="D49" s="1363" t="s">
        <v>522</v>
      </c>
      <c r="E49" s="2259"/>
      <c r="F49" s="2259"/>
      <c r="G49" s="2259"/>
      <c r="H49" s="2259"/>
      <c r="I49" s="2256"/>
      <c r="J49" s="1363"/>
      <c r="K49" s="1363"/>
      <c r="L49" s="1364"/>
      <c r="P49" s="2257"/>
      <c r="Q49" s="1481"/>
      <c r="R49" s="356"/>
      <c r="S49" s="1278"/>
      <c r="T49" s="365" t="s">
        <v>414</v>
      </c>
      <c r="U49" s="367"/>
      <c r="V49" s="367"/>
      <c r="W49" s="367"/>
      <c r="X49" s="367"/>
      <c r="Y49" s="367"/>
      <c r="Z49" s="367"/>
      <c r="AA49" s="367"/>
      <c r="AB49" s="366"/>
      <c r="AC49" s="367"/>
      <c r="AD49" s="367"/>
      <c r="AE49" s="367"/>
      <c r="AF49" s="367"/>
      <c r="AG49" s="367"/>
      <c r="AH49" s="367"/>
      <c r="AI49" s="366"/>
      <c r="AJ49" s="367"/>
      <c r="AK49" s="1440"/>
      <c r="AM49" s="500"/>
      <c r="AN49" s="500" t="str">
        <f>IF(T49="","",T49)</f>
        <v>Добавить группу потребителей</v>
      </c>
      <c r="AO49" s="500"/>
      <c r="AP49" s="500"/>
      <c r="AQ49" s="1155">
        <v>21</v>
      </c>
    </row>
    <row customHeight="1" ht="22.049999999999997">
      <c r="A50" s="1363" t="s">
        <v>268</v>
      </c>
      <c r="B50" s="1363" t="s">
        <v>269</v>
      </c>
      <c r="C50" s="1363" t="s">
        <v>270</v>
      </c>
      <c r="D50" s="1363" t="s">
        <v>522</v>
      </c>
      <c r="E50" s="2259"/>
      <c r="F50" s="2259"/>
      <c r="G50" s="2259"/>
      <c r="H50" s="2258"/>
      <c r="I50" s="1363"/>
      <c r="J50" s="1363"/>
      <c r="K50" s="1363"/>
      <c r="L50" s="1364"/>
      <c r="M50" s="1365"/>
      <c r="N50" s="1365"/>
      <c r="O50" s="537"/>
      <c r="P50" s="360"/>
      <c r="Q50" s="375"/>
      <c r="R50" s="355"/>
      <c r="S50" s="1278"/>
      <c r="T50" s="372" t="s">
        <v>490</v>
      </c>
      <c r="U50" s="367"/>
      <c r="V50" s="367"/>
      <c r="W50" s="367"/>
      <c r="X50" s="367"/>
      <c r="Y50" s="367"/>
      <c r="Z50" s="367"/>
      <c r="AA50" s="367"/>
      <c r="AB50" s="366"/>
      <c r="AC50" s="367"/>
      <c r="AD50" s="367"/>
      <c r="AE50" s="367"/>
      <c r="AF50" s="367"/>
      <c r="AG50" s="367"/>
      <c r="AH50" s="367"/>
      <c r="AI50" s="366"/>
      <c r="AJ50" s="367"/>
      <c r="AK50" s="303"/>
      <c r="AM50" s="500"/>
      <c r="AN50" s="500" t="str">
        <f>IF(T50="","",T50)</f>
        <v>Добавить наименование признака дифференциации</v>
      </c>
      <c r="AO50" s="500"/>
      <c r="AP50" s="500"/>
      <c r="AQ50" s="1155">
        <v>21</v>
      </c>
    </row>
    <row s="1642" customFormat="1" customHeight="1" ht="0">
      <c r="A51" s="1343" t="s">
        <v>268</v>
      </c>
      <c r="B51" s="1343" t="s">
        <v>269</v>
      </c>
      <c r="C51" s="1314"/>
      <c r="D51" s="1314"/>
      <c r="E51" s="2259"/>
      <c r="F51" s="2258"/>
      <c r="G51" s="1314"/>
      <c r="H51" s="1314"/>
      <c r="I51" s="1314"/>
      <c r="J51" s="1314"/>
      <c r="K51" s="1314"/>
      <c r="L51" s="1494"/>
      <c r="M51" s="1321"/>
      <c r="N51" s="1321"/>
      <c r="P51" s="1316"/>
      <c r="Q51" s="1317"/>
      <c r="R51" s="1316"/>
      <c r="S51" s="1322"/>
      <c r="T51" s="1325" t="s">
        <v>417</v>
      </c>
      <c r="U51" s="1324"/>
      <c r="V51" s="1324"/>
      <c r="W51" s="1324"/>
      <c r="X51" s="1324"/>
      <c r="Y51" s="1324"/>
      <c r="Z51" s="1324"/>
      <c r="AA51" s="1324"/>
      <c r="AB51" s="1324"/>
      <c r="AC51" s="1324"/>
      <c r="AD51" s="1324"/>
      <c r="AE51" s="1324"/>
      <c r="AF51" s="1324"/>
      <c r="AG51" s="1324"/>
      <c r="AH51" s="1324"/>
      <c r="AI51" s="1324"/>
      <c r="AJ51" s="1324"/>
      <c r="AK51" s="1324"/>
      <c r="AM51" s="789"/>
      <c r="AN51" s="789" t="str">
        <f>IF(T51="","",T51)</f>
        <v>Добавить централизованную систему для дифференциации</v>
      </c>
      <c r="AO51" s="789"/>
      <c r="AP51" s="789"/>
      <c r="AQ51" s="518">
        <v>0</v>
      </c>
    </row>
    <row s="1642" customFormat="1" customHeight="1" ht="0">
      <c r="A52" s="1343" t="s">
        <v>268</v>
      </c>
      <c r="B52" s="1343"/>
      <c r="C52" s="1343"/>
      <c r="D52" s="1343"/>
      <c r="E52" s="2258"/>
      <c r="F52" s="1343"/>
      <c r="G52" s="1343"/>
      <c r="H52" s="1343"/>
      <c r="I52" s="1343"/>
      <c r="J52" s="1343"/>
      <c r="K52" s="1343"/>
      <c r="L52" s="1346"/>
      <c r="M52" s="1321"/>
      <c r="N52" s="1321"/>
      <c r="O52" s="518"/>
      <c r="P52" s="380"/>
      <c r="Q52" s="1344"/>
      <c r="R52" s="380"/>
      <c r="S52" s="1322"/>
      <c r="T52" s="1325" t="s">
        <v>418</v>
      </c>
      <c r="U52" s="1324"/>
      <c r="V52" s="1324"/>
      <c r="W52" s="1324"/>
      <c r="X52" s="1324"/>
      <c r="Y52" s="1324"/>
      <c r="Z52" s="1324"/>
      <c r="AA52" s="1324"/>
      <c r="AB52" s="1324"/>
      <c r="AC52" s="1324"/>
      <c r="AD52" s="1324"/>
      <c r="AE52" s="1324"/>
      <c r="AF52" s="1324"/>
      <c r="AG52" s="1324"/>
      <c r="AH52" s="1324"/>
      <c r="AI52" s="1324"/>
      <c r="AJ52" s="1324"/>
      <c r="AK52" s="1324"/>
      <c r="AM52" s="500"/>
      <c r="AN52" s="500" t="str">
        <f>IF(T52="","",T52)</f>
        <v>Добавить территорию для дифференциации</v>
      </c>
      <c r="AO52" s="500"/>
      <c r="AP52" s="500"/>
      <c r="AQ52" s="511">
        <v>0</v>
      </c>
    </row>
    <row s="1642" customFormat="1" customHeight="1" ht="0">
      <c r="A53" s="1314"/>
      <c r="B53" s="1314"/>
      <c r="C53" s="1314"/>
      <c r="D53" s="1314"/>
      <c r="E53" s="1343"/>
      <c r="F53" s="1314"/>
      <c r="G53" s="1314"/>
      <c r="H53" s="1314"/>
      <c r="I53" s="1314"/>
      <c r="J53" s="1314"/>
      <c r="K53" s="1314"/>
      <c r="L53" s="1494"/>
      <c r="M53" s="1321"/>
      <c r="N53" s="1321"/>
      <c r="P53" s="1316"/>
      <c r="Q53" s="1317"/>
      <c r="R53" s="1316"/>
      <c r="S53" s="1322"/>
      <c r="T53" s="1325" t="s">
        <v>450</v>
      </c>
      <c r="U53" s="1324"/>
      <c r="V53" s="1324"/>
      <c r="W53" s="1324"/>
      <c r="X53" s="1324"/>
      <c r="Y53" s="1324"/>
      <c r="Z53" s="1324"/>
      <c r="AA53" s="1324"/>
      <c r="AB53" s="1324"/>
      <c r="AC53" s="1324"/>
      <c r="AD53" s="1324"/>
      <c r="AE53" s="1324"/>
      <c r="AF53" s="1324"/>
      <c r="AG53" s="1324"/>
      <c r="AH53" s="1324"/>
      <c r="AI53" s="1324"/>
      <c r="AJ53" s="1324"/>
      <c r="AK53" s="1324"/>
      <c r="AM53" s="789"/>
      <c r="AN53" s="789" t="str">
        <f>IF(T53="","",T53)</f>
        <v>Добавить наименование тарифа</v>
      </c>
      <c r="AO53" s="789"/>
      <c r="AP53" s="789"/>
      <c r="AQ53" s="518">
        <v>0</v>
      </c>
    </row>
    <row customHeight="1" ht="11.549999999999999">
      <c r="M54" s="1160"/>
      <c r="N54" s="1160"/>
      <c r="O54" s="537"/>
      <c r="P54" s="1155"/>
      <c r="Q54" s="1155"/>
      <c r="R54" s="1155"/>
      <c r="S54" s="1155"/>
      <c r="AL54" s="1155"/>
      <c r="AM54" s="1155"/>
      <c r="AN54" s="1155"/>
      <c r="AO54" s="1155"/>
      <c r="AP54" s="1155"/>
      <c r="AQ54" s="1155">
        <v>11</v>
      </c>
    </row>
    <row customHeight="1" ht="14.699999999999998">
      <c r="O55" s="537"/>
      <c r="S55" s="1253"/>
      <c r="T55" s="2285"/>
      <c r="U55" s="2285"/>
      <c r="V55" s="2285"/>
      <c r="W55" s="2285"/>
      <c r="X55" s="2285"/>
      <c r="Y55" s="2285"/>
      <c r="Z55" s="2285"/>
      <c r="AA55" s="2285"/>
      <c r="AB55" s="2285"/>
      <c r="AC55" s="2285"/>
      <c r="AD55" s="2285"/>
      <c r="AE55" s="2285"/>
      <c r="AF55" s="2285"/>
      <c r="AG55" s="2285"/>
      <c r="AH55" s="2285"/>
      <c r="AI55" s="2285"/>
      <c r="AJ55" s="2285"/>
      <c r="AK55" s="2285"/>
      <c r="AQ55" s="1155">
        <v>14</v>
      </c>
    </row>
    <row customHeight="1" ht="14.699999999999998">
      <c r="O56" s="537"/>
      <c r="AQ56" s="1155">
        <v>14</v>
      </c>
    </row>
    <row customHeight="1" ht="14.699999999999998">
      <c r="O57" s="537"/>
      <c r="S57" s="1253"/>
      <c r="T57" s="2285"/>
      <c r="U57" s="2285"/>
      <c r="V57" s="2285"/>
      <c r="W57" s="2285"/>
      <c r="X57" s="2285"/>
      <c r="Y57" s="2285"/>
      <c r="Z57" s="2285"/>
      <c r="AA57" s="2285"/>
      <c r="AB57" s="2285"/>
      <c r="AC57" s="2285"/>
      <c r="AD57" s="2285"/>
      <c r="AE57" s="2285"/>
      <c r="AF57" s="2285"/>
      <c r="AG57" s="2285"/>
      <c r="AH57" s="2285"/>
      <c r="AI57" s="2285"/>
      <c r="AJ57" s="2285"/>
      <c r="AK57" s="2285"/>
      <c r="AQ57" s="1155">
        <v>14</v>
      </c>
    </row>
    <row customHeight="1" ht="22.5" hidden="1">
      <c r="A58" s="1160" t="s">
        <v>82</v>
      </c>
      <c r="B58" s="1160">
        <v>0</v>
      </c>
      <c r="C58" s="1160">
        <v>0</v>
      </c>
      <c r="D58" s="1160">
        <v>0</v>
      </c>
      <c r="E58" s="1160">
        <v>0</v>
      </c>
      <c r="F58" s="1160">
        <v>0</v>
      </c>
      <c r="G58" s="1160">
        <v>0</v>
      </c>
      <c r="H58" s="1160">
        <v>0</v>
      </c>
      <c r="I58" s="1160">
        <v>0</v>
      </c>
      <c r="J58" s="1160">
        <v>0</v>
      </c>
      <c r="K58" s="1160">
        <v>0</v>
      </c>
      <c r="L58" s="1478">
        <v>0</v>
      </c>
      <c r="M58" s="1362">
        <v>0</v>
      </c>
      <c r="N58" s="1362">
        <v>0</v>
      </c>
      <c r="O58" s="1362">
        <v>0</v>
      </c>
      <c r="P58" s="1473">
        <v>3</v>
      </c>
      <c r="Q58" s="344">
        <v>3</v>
      </c>
      <c r="R58" s="344">
        <v>3</v>
      </c>
      <c r="S58" s="581">
        <v>12</v>
      </c>
      <c r="T58" s="1155">
        <v>35</v>
      </c>
      <c r="U58" s="1155">
        <v>0</v>
      </c>
      <c r="V58" s="1155">
        <v>0</v>
      </c>
      <c r="W58" s="1155">
        <v>0</v>
      </c>
      <c r="X58" s="1155">
        <v>0</v>
      </c>
      <c r="Y58" s="1155">
        <v>0</v>
      </c>
      <c r="Z58" s="1155">
        <v>0</v>
      </c>
      <c r="AA58" s="1155">
        <v>0</v>
      </c>
      <c r="AB58" s="1155">
        <v>0</v>
      </c>
      <c r="AC58" s="1155">
        <v>24</v>
      </c>
      <c r="AD58" s="1155">
        <v>24</v>
      </c>
      <c r="AE58" s="1155">
        <v>24</v>
      </c>
      <c r="AF58" s="1155">
        <v>11</v>
      </c>
      <c r="AG58" s="1155">
        <v>3</v>
      </c>
      <c r="AH58" s="1155">
        <v>11</v>
      </c>
      <c r="AI58" s="1155">
        <v>0</v>
      </c>
      <c r="AJ58" s="1155">
        <v>4</v>
      </c>
      <c r="AK58" s="1155">
        <v>115</v>
      </c>
      <c r="AL58" s="511">
        <v>10</v>
      </c>
      <c r="AM58" s="511">
        <v>10</v>
      </c>
      <c r="AN58" s="511">
        <v>10</v>
      </c>
      <c r="AO58" s="511">
        <v>10</v>
      </c>
      <c r="AP58" s="511">
        <v>10</v>
      </c>
      <c r="AQ58" s="1155">
        <v>23</v>
      </c>
    </row>
  </sheetData>
  <sheetProtection formatColumns="0" formatRows="0" autoFilter="0" sort="0" insertRows="0" insertColumns="1" deleteRows="0" deleteColumns="0"/>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AE47 AE8 X8 X47"/>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5:AJ5 AC44:AJ44">
      <formula1>900</formula1>
    </dataValidation>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AH7 AF7 Y7 AA7 Y46 AA4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524330 AI196650 AI589866 AI655402 AI15 AI720938 AI786474 AI852010 AI917546 AI983082 AI65578 AI131114 AI458794 AI262186 AI7 AG46 AI327722 AG15 AG7 Z7 AB7 AI393258 AI46 Z46 AB46"/>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5D7B8E5-43AB-C9C9-523B-EE823B180D72}" mc:Ignorable="x14ac xr xr2 xr3">
  <sheetPr>
    <tabColor theme="6" tint="0.4"/>
  </sheetPr>
  <dimension ref="A1:AQ58"/>
  <sheetViews>
    <sheetView showGridLines="0" zoomScale="90" workbookViewId="0">
      <pane xSplit="28" ySplit="40" topLeftCell="AC41" activePane="bottomRight" state="frozen"/>
      <selection pane="bottomLeft" activeCell="A41" sqref="A41"/>
      <selection pane="topRight" activeCell="AC1" sqref="AC1"/>
      <selection pane="bottomRight" activeCell="A1" sqref="A1"/>
    </sheetView>
  </sheetViews>
  <sheetFormatPr defaultColWidth="10.57421875" customHeight="1" defaultRowHeight="14.25"/>
  <cols>
    <col min="1" max="1" style="1366" width="10.57421875" hidden="1"/>
    <col min="2" max="2" style="1366" width="11.00390625" hidden="1" customWidth="1"/>
    <col min="3" max="3" style="1366" width="10.57421875" hidden="1"/>
    <col min="4" max="4" style="1366" width="11.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4.140625" hidden="1" customWidth="1"/>
    <col min="10" max="10" style="1366" width="9.8515625" hidden="1" customWidth="1"/>
    <col min="11" max="11" style="1366" width="14.7109375" hidden="1" customWidth="1"/>
    <col min="12" max="12" style="2607" width="19.140625" hidden="1" customWidth="1"/>
    <col min="13" max="14" style="1776" width="12.28125" hidden="1" customWidth="1"/>
    <col min="15" max="15" style="1776" width="23.421875" hidden="1" customWidth="1"/>
    <col min="16" max="16" style="2397" width="3.00390625" customWidth="1"/>
    <col min="17" max="18" style="344" width="3.00390625" customWidth="1"/>
    <col min="19" max="19" style="2407" width="12.00390625" customWidth="1"/>
    <col min="20" max="20" style="1635" width="35.00390625" customWidth="1"/>
    <col min="21" max="21" style="1635" width="0.140625" customWidth="1"/>
    <col min="22" max="24" style="1635" width="24.7109375" hidden="1" customWidth="1"/>
    <col min="25" max="25" style="1635" width="11.7109375" hidden="1" customWidth="1"/>
    <col min="26" max="26" style="1635" width="3.7109375" hidden="1" customWidth="1"/>
    <col min="27" max="27" style="1635" width="11.7109375" hidden="1" customWidth="1"/>
    <col min="28" max="28" style="1635" width="8.57421875" hidden="1" customWidth="1"/>
    <col min="29" max="29" style="1635" width="24.7109375" customWidth="1"/>
    <col min="30" max="31" style="1635" width="24.00390625" customWidth="1"/>
    <col min="32" max="32" style="1635" width="11.00390625" customWidth="1"/>
    <col min="33" max="33" style="1635" width="3.7109375" customWidth="1"/>
    <col min="34" max="34" style="1635" width="11.00390625" customWidth="1"/>
    <col min="35" max="35" style="1635" width="8.57421875" hidden="1" customWidth="1"/>
    <col min="36" max="36" style="1635" width="4.00390625" customWidth="1"/>
    <col min="37" max="37" style="1635" width="115.00390625" customWidth="1"/>
    <col min="38" max="42" style="1642" width="10.00390625" customWidth="1"/>
    <col min="43" max="43" style="1635" width="10.57421875" hidden="1"/>
  </cols>
  <sheetData>
    <row customHeight="1" ht="22.5" hidden="1">
      <c r="X1" s="327"/>
      <c r="Y1" s="327"/>
      <c r="AE1" s="327"/>
      <c r="AF1" s="327"/>
      <c r="AQ1" s="1155" t="s">
        <v>14</v>
      </c>
    </row>
    <row customHeight="1" ht="23.25" hidden="1">
      <c r="A2" s="1363"/>
      <c r="B2" s="1363"/>
      <c r="C2" s="1363"/>
      <c r="D2" s="1363"/>
      <c r="E2" s="2258">
        <v>1</v>
      </c>
      <c r="F2" s="1363"/>
      <c r="G2" s="1363"/>
      <c r="H2" s="1363"/>
      <c r="I2" s="1363"/>
      <c r="J2" s="1363"/>
      <c r="K2" s="1363"/>
      <c r="L2" s="1364"/>
      <c r="M2" s="1365"/>
      <c r="N2" s="1365"/>
      <c r="O2" s="1365"/>
      <c r="P2" s="361"/>
      <c r="Q2" s="360"/>
      <c r="R2" s="355"/>
      <c r="S2" s="1493">
        <f>INDEX(PT_DIFFERENTIATION_NUM_NTAR,MATCH(A2,PT_DIFFERENTIATION_NTAR_ID,0))</f>
      </c>
      <c r="T2" s="298" t="s">
        <v>127</v>
      </c>
      <c r="U2" s="300"/>
      <c r="V2" s="2242"/>
      <c r="W2" s="2243"/>
      <c r="X2" s="2243"/>
      <c r="Y2" s="2243"/>
      <c r="Z2" s="2243"/>
      <c r="AA2" s="2243"/>
      <c r="AB2" s="2244"/>
      <c r="AC2" s="2242">
        <f>INDEX(PT_DIFFERENTIATION_NTAR,MATCH(A2,PT_DIFFERENTIATION_NTAR_ID,0))</f>
      </c>
      <c r="AD2" s="2243"/>
      <c r="AE2" s="2243"/>
      <c r="AF2" s="2243"/>
      <c r="AG2" s="2243"/>
      <c r="AH2" s="2243"/>
      <c r="AI2" s="2243"/>
      <c r="AJ2" s="2244"/>
      <c r="AK2"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00"/>
      <c r="AN2" s="500" t="str">
        <f>IF(T2="","",T2)</f>
        <v>Наименование тарифа</v>
      </c>
      <c r="AO2" s="500"/>
      <c r="AP2" s="500"/>
      <c r="AQ2" s="1155">
        <v>0</v>
      </c>
    </row>
    <row customHeight="1" ht="23.25" hidden="1">
      <c r="A3" s="1363"/>
      <c r="B3" s="1363"/>
      <c r="C3" s="1363"/>
      <c r="D3" s="1363"/>
      <c r="E3" s="2259"/>
      <c r="F3" s="2258">
        <v>1</v>
      </c>
      <c r="G3" s="1363"/>
      <c r="H3" s="1363"/>
      <c r="I3" s="1363"/>
      <c r="J3" s="1363"/>
      <c r="K3" s="1363"/>
      <c r="L3" s="1364"/>
      <c r="M3" s="1365"/>
      <c r="N3" s="1365"/>
      <c r="O3" s="1365"/>
      <c r="P3" s="1487"/>
      <c r="Q3" s="352"/>
      <c r="R3" s="353"/>
      <c r="S3" s="1493">
        <f>INDEX(PT_DIFFERENTIATION_NUM_TER,MATCH(B3,PT_DIFFERENTIATION_TER_ID,0))</f>
      </c>
      <c r="T3" s="308" t="s">
        <v>399</v>
      </c>
      <c r="U3" s="300"/>
      <c r="V3" s="2242"/>
      <c r="W3" s="2243"/>
      <c r="X3" s="2243"/>
      <c r="Y3" s="2243"/>
      <c r="Z3" s="2243"/>
      <c r="AA3" s="2243"/>
      <c r="AB3" s="2244"/>
      <c r="AC3" s="2242">
        <f>INDEX(PT_DIFFERENTIATION_TER,MATCH(B3,PT_DIFFERENTIATION_TER_ID,0))</f>
      </c>
      <c r="AD3" s="2243"/>
      <c r="AE3" s="2243"/>
      <c r="AF3" s="2243"/>
      <c r="AG3" s="2243"/>
      <c r="AH3" s="2243"/>
      <c r="AI3" s="2243"/>
      <c r="AJ3" s="2244"/>
      <c r="AK3" s="1258" t="s">
        <v>400</v>
      </c>
      <c r="AM3" s="500"/>
      <c r="AN3" s="500" t="str">
        <f>IF(T3="","",T3)</f>
        <v>Территория действия тарифа</v>
      </c>
      <c r="AO3" s="500"/>
      <c r="AP3" s="500"/>
      <c r="AQ3" s="1155">
        <v>0</v>
      </c>
    </row>
    <row customHeight="1" ht="23.25" hidden="1">
      <c r="A4" s="1363"/>
      <c r="B4" s="1363"/>
      <c r="C4" s="1363"/>
      <c r="D4" s="1363"/>
      <c r="E4" s="2259"/>
      <c r="F4" s="2259"/>
      <c r="G4" s="2258">
        <v>1</v>
      </c>
      <c r="H4" s="1363"/>
      <c r="I4" s="1363"/>
      <c r="J4" s="1363"/>
      <c r="K4" s="1363"/>
      <c r="L4" s="1364"/>
      <c r="M4" s="1365"/>
      <c r="N4" s="1365"/>
      <c r="O4" s="1365"/>
      <c r="P4" s="354"/>
      <c r="Q4" s="352"/>
      <c r="R4" s="353"/>
      <c r="S4" s="1493">
        <f>INDEX(PT_DIFFERENTIATION_NUM_CS,MATCH(C4,PT_DIFFERENTIATION_CS_ID,0))</f>
      </c>
      <c r="T4" s="309" t="s">
        <v>518</v>
      </c>
      <c r="U4" s="300"/>
      <c r="V4" s="2242"/>
      <c r="W4" s="2243"/>
      <c r="X4" s="2243"/>
      <c r="Y4" s="2243"/>
      <c r="Z4" s="2243"/>
      <c r="AA4" s="2243"/>
      <c r="AB4" s="2244"/>
      <c r="AC4" s="2242">
        <f>INDEX(PT_DIFFERENTIATION_CS,MATCH(C4,PT_DIFFERENTIATION_CS_ID,0))</f>
      </c>
      <c r="AD4" s="2243"/>
      <c r="AE4" s="2243"/>
      <c r="AF4" s="2243"/>
      <c r="AG4" s="2243"/>
      <c r="AH4" s="2243"/>
      <c r="AI4" s="2243"/>
      <c r="AJ4" s="2244"/>
      <c r="AK4" s="1258" t="s">
        <v>519</v>
      </c>
      <c r="AM4" s="500"/>
      <c r="AN4" s="500" t="str">
        <f>IF(T4="","",T4)</f>
        <v>Наименование централизованной системы водоотведения</v>
      </c>
      <c r="AO4" s="500"/>
      <c r="AP4" s="500"/>
      <c r="AQ4" s="1155">
        <v>0</v>
      </c>
    </row>
    <row customHeight="1" ht="23.25" hidden="1">
      <c r="A5" s="1363"/>
      <c r="B5" s="1363"/>
      <c r="C5" s="1363"/>
      <c r="D5" s="1363"/>
      <c r="E5" s="2259"/>
      <c r="F5" s="2259"/>
      <c r="G5" s="2259"/>
      <c r="H5" s="2259"/>
      <c r="I5" s="2256">
        <f>S4&amp;".1"</f>
      </c>
      <c r="J5" s="1363"/>
      <c r="K5" s="1363"/>
      <c r="L5" s="1364"/>
      <c r="P5" s="2257">
        <v>1</v>
      </c>
      <c r="Q5" s="1481"/>
      <c r="R5" s="356"/>
      <c r="S5" s="1493">
        <f>$I5</f>
      </c>
      <c r="T5" s="285" t="s">
        <v>485</v>
      </c>
      <c r="U5" s="300"/>
      <c r="V5" s="2350"/>
      <c r="W5" s="2351"/>
      <c r="X5" s="2351"/>
      <c r="Y5" s="2351"/>
      <c r="Z5" s="2351"/>
      <c r="AA5" s="2351"/>
      <c r="AB5" s="2352"/>
      <c r="AC5" s="2353"/>
      <c r="AD5" s="2354"/>
      <c r="AE5" s="2354"/>
      <c r="AF5" s="2354"/>
      <c r="AG5" s="2354"/>
      <c r="AH5" s="2354"/>
      <c r="AI5" s="2354"/>
      <c r="AJ5" s="2355"/>
      <c r="AK5" s="1258" t="s">
        <v>486</v>
      </c>
      <c r="AM5" s="500"/>
      <c r="AN5" s="500" t="str">
        <f>IF(T5="","",T5)</f>
        <v>Наименование признака дифференциации</v>
      </c>
      <c r="AO5" s="500"/>
      <c r="AP5" s="500"/>
      <c r="AQ5" s="1155">
        <v>0</v>
      </c>
    </row>
    <row customHeight="1" ht="23.25" hidden="1">
      <c r="A6" s="1363"/>
      <c r="B6" s="1363"/>
      <c r="C6" s="1363"/>
      <c r="D6" s="1363"/>
      <c r="E6" s="2259"/>
      <c r="F6" s="2259"/>
      <c r="G6" s="2259"/>
      <c r="H6" s="2259"/>
      <c r="I6" s="2286"/>
      <c r="J6" s="2256">
        <f>I5&amp;".1"</f>
      </c>
      <c r="K6" s="1363"/>
      <c r="L6" s="1364" t="s">
        <v>408</v>
      </c>
      <c r="P6" s="2257"/>
      <c r="Q6" s="2257">
        <v>1</v>
      </c>
      <c r="R6" s="357"/>
      <c r="S6" s="1493">
        <f>$J6</f>
      </c>
      <c r="T6" s="286" t="s">
        <v>409</v>
      </c>
      <c r="U6" s="300"/>
      <c r="V6" s="2245"/>
      <c r="W6" s="2246"/>
      <c r="X6" s="2246"/>
      <c r="Y6" s="2246"/>
      <c r="Z6" s="2246"/>
      <c r="AA6" s="2246"/>
      <c r="AB6" s="2247"/>
      <c r="AC6" s="2245"/>
      <c r="AD6" s="2246"/>
      <c r="AE6" s="2246"/>
      <c r="AF6" s="2246"/>
      <c r="AG6" s="2246"/>
      <c r="AH6" s="2246"/>
      <c r="AI6" s="2246"/>
      <c r="AJ6" s="2247"/>
      <c r="AK6" s="1307" t="s">
        <v>487</v>
      </c>
      <c r="AM6" s="500"/>
      <c r="AN6" s="500" t="str">
        <f>IF(T6="","",T6)</f>
        <v>Группа потребителей</v>
      </c>
      <c r="AO6" s="500"/>
      <c r="AP6" s="500"/>
      <c r="AQ6" s="1155">
        <v>0</v>
      </c>
    </row>
    <row customHeight="1" ht="23.25" hidden="1">
      <c r="A7" s="1363"/>
      <c r="B7" s="1363"/>
      <c r="C7" s="1363"/>
      <c r="D7" s="1363"/>
      <c r="E7" s="2259"/>
      <c r="F7" s="2259"/>
      <c r="G7" s="2259"/>
      <c r="H7" s="2259"/>
      <c r="I7" s="2286"/>
      <c r="J7" s="2286"/>
      <c r="K7" s="2256">
        <f>J6&amp;".1"</f>
      </c>
      <c r="L7" s="1364"/>
      <c r="P7" s="2257"/>
      <c r="Q7" s="2257"/>
      <c r="R7" s="357">
        <v>1</v>
      </c>
      <c r="S7" s="1493">
        <f>$K7</f>
      </c>
      <c r="T7" s="1437"/>
      <c r="U7" s="300"/>
      <c r="V7" s="751"/>
      <c r="W7" s="751"/>
      <c r="X7" s="1257"/>
      <c r="Y7" s="2265"/>
      <c r="Z7" s="2107" t="s">
        <v>66</v>
      </c>
      <c r="AA7" s="2265"/>
      <c r="AB7" s="2107" t="s">
        <v>66</v>
      </c>
      <c r="AC7" s="751"/>
      <c r="AD7" s="751"/>
      <c r="AE7" s="1257"/>
      <c r="AF7" s="2265"/>
      <c r="AG7" s="2107" t="s">
        <v>66</v>
      </c>
      <c r="AH7" s="2287"/>
      <c r="AI7" s="2107" t="s">
        <v>66</v>
      </c>
      <c r="AJ7" s="1438"/>
      <c r="AK7" s="234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1">
        <f>STRCHECKDATE(V8:AJ8)</f>
      </c>
      <c r="AM7" s="500"/>
      <c r="AN7" s="500" t="str">
        <f>IF(T7="","",T7)</f>
        <v/>
      </c>
      <c r="AO7" s="500"/>
      <c r="AP7" s="500"/>
      <c r="AQ7" s="1155">
        <v>0</v>
      </c>
    </row>
    <row customHeight="1" ht="14.25" hidden="1">
      <c r="A8" s="1363"/>
      <c r="B8" s="1363"/>
      <c r="C8" s="1363"/>
      <c r="D8" s="1363"/>
      <c r="E8" s="2259"/>
      <c r="F8" s="2259"/>
      <c r="G8" s="2259"/>
      <c r="H8" s="2259"/>
      <c r="I8" s="2286"/>
      <c r="J8" s="2286"/>
      <c r="K8" s="2256"/>
      <c r="L8" s="1364"/>
      <c r="P8" s="2257"/>
      <c r="Q8" s="2257"/>
      <c r="R8" s="357"/>
      <c r="S8" s="1490"/>
      <c r="T8" s="300"/>
      <c r="U8" s="300"/>
      <c r="V8" s="325"/>
      <c r="W8" s="325"/>
      <c r="X8" s="328" t="str">
        <f>Y7&amp;"-"&amp;AA7</f>
        <v>-</v>
      </c>
      <c r="Y8" s="2266"/>
      <c r="Z8" s="2107"/>
      <c r="AA8" s="2266"/>
      <c r="AB8" s="2107"/>
      <c r="AC8" s="325"/>
      <c r="AD8" s="325"/>
      <c r="AE8" s="328" t="str">
        <f>AF7&amp;"-"&amp;AH7</f>
        <v>-</v>
      </c>
      <c r="AF8" s="2266"/>
      <c r="AG8" s="2107"/>
      <c r="AH8" s="2288"/>
      <c r="AI8" s="2107"/>
      <c r="AJ8" s="1439"/>
      <c r="AK8" s="2349"/>
      <c r="AM8" s="500"/>
      <c r="AN8" s="500" t="str">
        <f>IF(T8="","",T8)</f>
        <v/>
      </c>
      <c r="AO8" s="500"/>
      <c r="AP8" s="500"/>
      <c r="AQ8" s="1155">
        <v>0</v>
      </c>
    </row>
    <row customHeight="1" ht="21" hidden="1">
      <c r="A9" s="1363"/>
      <c r="B9" s="1363"/>
      <c r="C9" s="1363"/>
      <c r="D9" s="1363"/>
      <c r="E9" s="2259"/>
      <c r="F9" s="2259"/>
      <c r="G9" s="2259"/>
      <c r="H9" s="2259"/>
      <c r="I9" s="2286"/>
      <c r="J9" s="2256"/>
      <c r="K9" s="1363"/>
      <c r="L9" s="1364"/>
      <c r="P9" s="2257"/>
      <c r="Q9" s="2257"/>
      <c r="R9" s="356"/>
      <c r="S9" s="1278"/>
      <c r="T9" s="287" t="s">
        <v>488</v>
      </c>
      <c r="U9" s="367"/>
      <c r="V9" s="367"/>
      <c r="W9" s="367"/>
      <c r="X9" s="367"/>
      <c r="Y9" s="367"/>
      <c r="Z9" s="367"/>
      <c r="AA9" s="367"/>
      <c r="AB9" s="367"/>
      <c r="AC9" s="367"/>
      <c r="AD9" s="367"/>
      <c r="AE9" s="367"/>
      <c r="AF9" s="367"/>
      <c r="AG9" s="367"/>
      <c r="AH9" s="367"/>
      <c r="AI9" s="367"/>
      <c r="AJ9" s="367"/>
      <c r="AK9" s="1258" t="s">
        <v>489</v>
      </c>
      <c r="AM9" s="500"/>
      <c r="AN9" s="500" t="str">
        <f>IF(T9="","",T9)</f>
        <v>Добавить значение признака дифференциации</v>
      </c>
      <c r="AO9" s="500"/>
      <c r="AP9" s="500"/>
      <c r="AQ9" s="1155">
        <v>0</v>
      </c>
    </row>
    <row customHeight="1" ht="21" hidden="1">
      <c r="A10" s="1363"/>
      <c r="B10" s="1363"/>
      <c r="C10" s="1363"/>
      <c r="D10" s="1363"/>
      <c r="E10" s="2259"/>
      <c r="F10" s="2259"/>
      <c r="G10" s="2259"/>
      <c r="H10" s="2259"/>
      <c r="I10" s="2256"/>
      <c r="J10" s="1363"/>
      <c r="K10" s="1363"/>
      <c r="L10" s="1364"/>
      <c r="P10" s="2257"/>
      <c r="Q10" s="1481"/>
      <c r="R10" s="356"/>
      <c r="S10" s="1278"/>
      <c r="T10" s="365" t="s">
        <v>414</v>
      </c>
      <c r="U10" s="367"/>
      <c r="V10" s="367"/>
      <c r="W10" s="367"/>
      <c r="X10" s="367"/>
      <c r="Y10" s="367"/>
      <c r="Z10" s="367"/>
      <c r="AA10" s="367"/>
      <c r="AB10" s="366"/>
      <c r="AC10" s="367"/>
      <c r="AD10" s="367"/>
      <c r="AE10" s="367"/>
      <c r="AF10" s="367"/>
      <c r="AG10" s="367"/>
      <c r="AH10" s="367"/>
      <c r="AI10" s="366"/>
      <c r="AJ10" s="367"/>
      <c r="AK10" s="1440"/>
      <c r="AM10" s="500"/>
      <c r="AN10" s="500" t="str">
        <f>IF(T10="","",T10)</f>
        <v>Добавить группу потребителей</v>
      </c>
      <c r="AO10" s="500"/>
      <c r="AP10" s="500"/>
      <c r="AQ10" s="1155">
        <v>0</v>
      </c>
    </row>
    <row customHeight="1" ht="21" hidden="1">
      <c r="A11" s="1363"/>
      <c r="B11" s="1363"/>
      <c r="C11" s="1363"/>
      <c r="D11" s="1363"/>
      <c r="E11" s="2259"/>
      <c r="F11" s="2259"/>
      <c r="G11" s="2259"/>
      <c r="H11" s="2258"/>
      <c r="I11" s="1363"/>
      <c r="J11" s="1363"/>
      <c r="K11" s="1363"/>
      <c r="L11" s="1364"/>
      <c r="M11" s="1365"/>
      <c r="N11" s="1365"/>
      <c r="O11" s="537"/>
      <c r="P11" s="360"/>
      <c r="Q11" s="375"/>
      <c r="R11" s="355"/>
      <c r="S11" s="1278"/>
      <c r="T11" s="372" t="s">
        <v>490</v>
      </c>
      <c r="U11" s="367"/>
      <c r="V11" s="367"/>
      <c r="W11" s="367"/>
      <c r="X11" s="367"/>
      <c r="Y11" s="367"/>
      <c r="Z11" s="367"/>
      <c r="AA11" s="367"/>
      <c r="AB11" s="366"/>
      <c r="AC11" s="367"/>
      <c r="AD11" s="367"/>
      <c r="AE11" s="367"/>
      <c r="AF11" s="367"/>
      <c r="AG11" s="367"/>
      <c r="AH11" s="367"/>
      <c r="AI11" s="366"/>
      <c r="AJ11" s="367"/>
      <c r="AK11" s="303"/>
      <c r="AM11" s="500"/>
      <c r="AN11" s="500" t="str">
        <f>IF(T11="","",T11)</f>
        <v>Добавить наименование признака дифференциации</v>
      </c>
      <c r="AO11" s="500"/>
      <c r="AP11" s="500"/>
      <c r="AQ11" s="1155">
        <v>0</v>
      </c>
    </row>
    <row s="1642" customFormat="1" customHeight="1" ht="14.25" hidden="1">
      <c r="A12" s="1343"/>
      <c r="B12" s="1343"/>
      <c r="C12" s="1314"/>
      <c r="D12" s="1314"/>
      <c r="E12" s="2259"/>
      <c r="F12" s="2258"/>
      <c r="G12" s="1314"/>
      <c r="H12" s="1314"/>
      <c r="I12" s="1314"/>
      <c r="J12" s="1314"/>
      <c r="K12" s="1314"/>
      <c r="L12" s="1494"/>
      <c r="M12" s="1321"/>
      <c r="N12" s="1321"/>
      <c r="P12" s="1316"/>
      <c r="Q12" s="1317"/>
      <c r="R12" s="1316"/>
      <c r="S12" s="1322"/>
      <c r="T12" s="1325" t="s">
        <v>417</v>
      </c>
      <c r="U12" s="1324"/>
      <c r="V12" s="1324"/>
      <c r="W12" s="1324"/>
      <c r="X12" s="1324"/>
      <c r="Y12" s="1324"/>
      <c r="Z12" s="1324"/>
      <c r="AA12" s="1324"/>
      <c r="AB12" s="1324"/>
      <c r="AC12" s="1324"/>
      <c r="AD12" s="1324"/>
      <c r="AE12" s="1324"/>
      <c r="AF12" s="1324"/>
      <c r="AG12" s="1324"/>
      <c r="AH12" s="1324"/>
      <c r="AI12" s="1324"/>
      <c r="AJ12" s="1324"/>
      <c r="AK12" s="1324"/>
      <c r="AM12" s="789"/>
      <c r="AN12" s="789" t="str">
        <f>IF(T12="","",T12)</f>
        <v>Добавить централизованную систему для дифференциации</v>
      </c>
      <c r="AO12" s="789"/>
      <c r="AP12" s="789"/>
      <c r="AQ12" s="518">
        <v>0</v>
      </c>
    </row>
    <row s="1642" customFormat="1" customHeight="1" ht="14.25" hidden="1">
      <c r="A13" s="1343"/>
      <c r="B13" s="1343"/>
      <c r="C13" s="1343"/>
      <c r="D13" s="1343"/>
      <c r="E13" s="2258"/>
      <c r="F13" s="1343"/>
      <c r="G13" s="1343"/>
      <c r="H13" s="1343"/>
      <c r="I13" s="1343"/>
      <c r="J13" s="1343"/>
      <c r="K13" s="1343"/>
      <c r="L13" s="1346"/>
      <c r="M13" s="1321"/>
      <c r="N13" s="1321"/>
      <c r="O13" s="518"/>
      <c r="P13" s="380"/>
      <c r="Q13" s="1344"/>
      <c r="R13" s="380"/>
      <c r="S13" s="1322"/>
      <c r="T13" s="1325" t="s">
        <v>418</v>
      </c>
      <c r="U13" s="1324"/>
      <c r="V13" s="1324"/>
      <c r="W13" s="1324"/>
      <c r="X13" s="1324"/>
      <c r="Y13" s="1324"/>
      <c r="Z13" s="1324"/>
      <c r="AA13" s="1324"/>
      <c r="AB13" s="1324"/>
      <c r="AC13" s="1324"/>
      <c r="AD13" s="1324"/>
      <c r="AE13" s="1324"/>
      <c r="AF13" s="1324"/>
      <c r="AG13" s="1324"/>
      <c r="AH13" s="1324"/>
      <c r="AI13" s="1324"/>
      <c r="AJ13" s="1324"/>
      <c r="AK13" s="1324"/>
      <c r="AM13" s="500"/>
      <c r="AN13" s="500" t="str">
        <f>IF(T13="","",T13)</f>
        <v>Добавить территорию для дифференциации</v>
      </c>
      <c r="AO13" s="500"/>
      <c r="AP13" s="500"/>
      <c r="AQ13" s="511">
        <v>0</v>
      </c>
    </row>
    <row customHeight="1" ht="14.25" hidden="1">
      <c r="AB14" s="327"/>
      <c r="AI14" s="327"/>
      <c r="AQ14" s="1155">
        <v>0</v>
      </c>
    </row>
    <row customHeight="1" ht="14.25" hidden="1">
      <c r="AC15" s="1360"/>
      <c r="AD15" s="1360"/>
      <c r="AE15" s="1361"/>
      <c r="AF15" s="2267"/>
      <c r="AG15" s="2268" t="s">
        <v>66</v>
      </c>
      <c r="AH15" s="2267"/>
      <c r="AI15" s="2268" t="s">
        <v>66</v>
      </c>
      <c r="AQ15" s="1155">
        <v>0</v>
      </c>
    </row>
    <row customHeight="1" ht="14.25" hidden="1">
      <c r="AC16" s="1360"/>
      <c r="AD16" s="1360"/>
      <c r="AE16" s="328" t="str">
        <f>AF15&amp;"-"&amp;AH15</f>
        <v>-</v>
      </c>
      <c r="AF16" s="2268"/>
      <c r="AG16" s="2268"/>
      <c r="AH16" s="2268"/>
      <c r="AI16" s="2268"/>
      <c r="AQ16" s="1155">
        <v>0</v>
      </c>
    </row>
    <row customHeight="1" ht="14.25" hidden="1">
      <c r="AI17" s="327"/>
      <c r="AQ17" s="1155">
        <v>0</v>
      </c>
    </row>
    <row s="1366" customFormat="1" customHeight="1" ht="22.5" hidden="1">
      <c r="L18" s="1478"/>
      <c r="M18" s="1362"/>
      <c r="N18" s="1362"/>
      <c r="O18" s="1367" t="s">
        <v>419</v>
      </c>
      <c r="P18" s="1362"/>
      <c r="Q18" s="1371"/>
      <c r="R18" s="1371"/>
      <c r="S18" s="729"/>
      <c r="Y18" s="1367"/>
      <c r="AA18" s="1367"/>
      <c r="AB18" s="1366"/>
      <c r="AF18" s="1367"/>
      <c r="AH18" s="1367"/>
      <c r="AI18" s="1366"/>
      <c r="AL18" s="511"/>
      <c r="AM18" s="511"/>
      <c r="AN18" s="511"/>
      <c r="AO18" s="511"/>
      <c r="AP18" s="511"/>
      <c r="AQ18" s="1160">
        <v>0</v>
      </c>
    </row>
    <row s="1366" customFormat="1" customHeight="1" ht="14.25" hidden="1">
      <c r="L19" s="1478"/>
      <c r="M19" s="1362"/>
      <c r="N19" s="1362"/>
      <c r="O19" s="1362"/>
      <c r="P19" s="1362"/>
      <c r="Q19" s="1371"/>
      <c r="R19" s="1371"/>
      <c r="S19" s="729"/>
      <c r="AB19" s="1366"/>
      <c r="AI19" s="1366"/>
      <c r="AL19" s="511"/>
      <c r="AM19" s="511"/>
      <c r="AN19" s="511"/>
      <c r="AO19" s="511"/>
      <c r="AP19" s="511"/>
      <c r="AQ19" s="1160">
        <v>0</v>
      </c>
    </row>
    <row s="1366" customFormat="1" customHeight="1" ht="12" hidden="1">
      <c r="L20" s="1478"/>
      <c r="M20" s="1362"/>
      <c r="N20" s="1362"/>
      <c r="O20" s="1364" t="s">
        <v>420</v>
      </c>
      <c r="P20" s="1362"/>
      <c r="Q20" s="1442"/>
      <c r="R20" s="1442"/>
      <c r="S20" s="729"/>
      <c r="T20" s="1160" t="s">
        <v>421</v>
      </c>
      <c r="Z20" s="186" t="s">
        <v>422</v>
      </c>
      <c r="AB20" s="186" t="s">
        <v>423</v>
      </c>
      <c r="AC20" s="1160" t="s">
        <v>421</v>
      </c>
      <c r="AG20" s="186" t="s">
        <v>424</v>
      </c>
      <c r="AI20" s="186" t="s">
        <v>423</v>
      </c>
      <c r="AQ20" s="1160">
        <v>0</v>
      </c>
    </row>
    <row customHeight="1" ht="14.25" hidden="1">
      <c r="O21" s="1364"/>
      <c r="AQ21" s="1155">
        <v>0</v>
      </c>
    </row>
    <row customHeight="1" ht="14.25" hidden="1">
      <c r="O22" s="1364"/>
      <c r="AQ22" s="1155">
        <v>0</v>
      </c>
    </row>
    <row customHeight="1" ht="14.699999999999998">
      <c r="Q23" s="376"/>
      <c r="R23" s="376"/>
      <c r="S23" s="1275"/>
      <c r="T23" s="363"/>
      <c r="U23" s="363"/>
      <c r="V23" s="509"/>
      <c r="W23" s="509"/>
      <c r="X23" s="509"/>
      <c r="Y23" s="509"/>
      <c r="Z23" s="509"/>
      <c r="AA23" s="509"/>
      <c r="AB23" s="509"/>
      <c r="AC23" s="509"/>
      <c r="AD23" s="509"/>
      <c r="AE23" s="509"/>
      <c r="AF23" s="509"/>
      <c r="AG23" s="509"/>
      <c r="AH23" s="509"/>
      <c r="AI23" s="509"/>
      <c r="AQ23" s="1155">
        <v>14</v>
      </c>
    </row>
    <row customHeight="1" ht="14.699999999999998">
      <c r="Q24" s="376"/>
      <c r="R24" s="376"/>
      <c r="S24" s="2248" t="str">
        <f>IF(TEMPLATE_GROUP="P",PT_P_FORM_VOTV_4_NAME_FORM,PT_R_FORM_VOTV_16_NAME_FORM)</f>
        <v>Форма 13. Информация о предложении организации водоотведения об установлении расчетной величины тарифов в сфере водоотведения на очередной период регулирования</v>
      </c>
      <c r="T24" s="2248"/>
      <c r="U24" s="2248"/>
      <c r="V24" s="2248"/>
      <c r="W24" s="2248"/>
      <c r="X24" s="2248"/>
      <c r="Y24" s="2248"/>
      <c r="Z24" s="2248"/>
      <c r="AA24" s="2248"/>
      <c r="AB24" s="2248"/>
      <c r="AC24" s="2248"/>
      <c r="AD24" s="2248"/>
      <c r="AE24" s="2248"/>
      <c r="AF24" s="2248"/>
      <c r="AG24" s="2248"/>
      <c r="AH24" s="2248"/>
      <c r="AI24" s="1243"/>
      <c r="AQ24" s="1155">
        <v>14</v>
      </c>
    </row>
    <row customHeight="1" ht="14.699999999999998">
      <c r="Q25" s="376"/>
      <c r="R25" s="376"/>
      <c r="S25" s="2249" t="str">
        <f>IF(org=0,"Не определено",org)</f>
        <v>ПАО "ОГК-2"</v>
      </c>
      <c r="T25" s="2249"/>
      <c r="U25" s="2249"/>
      <c r="V25" s="2249"/>
      <c r="W25" s="2249"/>
      <c r="X25" s="2249"/>
      <c r="Y25" s="2249"/>
      <c r="Z25" s="2249"/>
      <c r="AA25" s="2249"/>
      <c r="AB25" s="2249"/>
      <c r="AC25" s="2249"/>
      <c r="AD25" s="2249"/>
      <c r="AE25" s="2249"/>
      <c r="AF25" s="2249"/>
      <c r="AG25" s="2249"/>
      <c r="AH25" s="2249"/>
      <c r="AI25" s="1243"/>
      <c r="AQ25" s="1155">
        <v>14</v>
      </c>
    </row>
    <row customHeight="1" ht="14.25" hidden="1">
      <c r="Q26" s="376"/>
      <c r="R26" s="376"/>
      <c r="S26" s="1275"/>
      <c r="T26" s="363"/>
      <c r="U26" s="363"/>
      <c r="V26" s="322"/>
      <c r="W26" s="322"/>
      <c r="X26" s="322"/>
      <c r="Y26" s="322"/>
      <c r="Z26" s="322"/>
      <c r="AA26" s="322"/>
      <c r="AB26" s="322"/>
      <c r="AC26" s="322"/>
      <c r="AD26" s="322"/>
      <c r="AE26" s="322"/>
      <c r="AF26" s="322"/>
      <c r="AG26" s="322"/>
      <c r="AH26" s="322"/>
      <c r="AI26" s="322"/>
      <c r="AJ26" s="509"/>
      <c r="AQ26" s="1155">
        <v>0</v>
      </c>
    </row>
    <row s="1853" customFormat="1" customHeight="1" ht="25.5" hidden="1">
      <c r="A27" s="1368"/>
      <c r="B27" s="1368"/>
      <c r="C27" s="1368"/>
      <c r="D27" s="1368"/>
      <c r="E27" s="1368"/>
      <c r="F27" s="1368"/>
      <c r="G27" s="1368"/>
      <c r="H27" s="1368"/>
      <c r="I27" s="1368"/>
      <c r="J27" s="1368"/>
      <c r="K27" s="1368"/>
      <c r="L27" s="1369"/>
      <c r="M27" s="1368"/>
      <c r="N27" s="1368"/>
      <c r="O27" s="1368"/>
      <c r="S27" s="2250" t="s">
        <v>42</v>
      </c>
      <c r="T27" s="2250"/>
      <c r="U27" s="1372"/>
      <c r="V27" s="2251" t="str">
        <f>IF(TITLE_NAME_OR_PR_CHANGE="",IF(TITLE_NAME_OR_PR="","",TITLE_NAME_OR_PR),TITLE_NAME_OR_PR_CHANGE)</f>
        <v/>
      </c>
      <c r="W27" s="2251"/>
      <c r="X27" s="2251"/>
      <c r="Y27" s="2251"/>
      <c r="Z27" s="2251"/>
      <c r="AA27" s="2251"/>
      <c r="AB27" s="326"/>
      <c r="AC27" s="2251" t="str">
        <f>IF(TITLE_NAME_OR_PR_CHANGE="",IF(TITLE_NAME_OR_PR="","",TITLE_NAME_OR_PR),TITLE_NAME_OR_PR_CHANGE)</f>
        <v/>
      </c>
      <c r="AD27" s="2251"/>
      <c r="AE27" s="2251"/>
      <c r="AF27" s="2251"/>
      <c r="AG27" s="2251"/>
      <c r="AH27" s="2251"/>
      <c r="AI27" s="326"/>
      <c r="AJ27" s="326"/>
      <c r="AK27" s="280"/>
      <c r="AL27" s="368"/>
      <c r="AM27" s="368"/>
      <c r="AN27" s="368"/>
      <c r="AO27" s="368"/>
      <c r="AP27" s="368"/>
      <c r="AQ27" s="418">
        <v>0</v>
      </c>
    </row>
    <row s="1853" customFormat="1" customHeight="1" ht="18.75" hidden="1">
      <c r="A28" s="1368"/>
      <c r="B28" s="1368"/>
      <c r="C28" s="1368"/>
      <c r="D28" s="1368"/>
      <c r="E28" s="1368"/>
      <c r="F28" s="1368"/>
      <c r="G28" s="1368"/>
      <c r="H28" s="1368"/>
      <c r="I28" s="1368"/>
      <c r="J28" s="1368"/>
      <c r="K28" s="1368"/>
      <c r="L28" s="1369"/>
      <c r="M28" s="1368"/>
      <c r="N28" s="1368"/>
      <c r="O28" s="1368"/>
      <c r="S28" s="2250" t="s">
        <v>425</v>
      </c>
      <c r="T28" s="2250"/>
      <c r="U28" s="1372"/>
      <c r="V28" s="2264" t="str">
        <f>IF(TITLE_DATE_PR_CHANGE="",IF(TITLE_DATE_PR="","",TITLE_DATE_PR),TITLE_DATE_PR_CHANGE)</f>
        <v/>
      </c>
      <c r="W28" s="2264"/>
      <c r="X28" s="2264"/>
      <c r="Y28" s="2264"/>
      <c r="Z28" s="2264"/>
      <c r="AA28" s="2264"/>
      <c r="AB28" s="326"/>
      <c r="AC28" s="2264" t="str">
        <f>IF(TITLE_DATE_PR_CHANGE="",IF(TITLE_DATE_PR="","",TITLE_DATE_PR),TITLE_DATE_PR_CHANGE)</f>
        <v/>
      </c>
      <c r="AD28" s="2264"/>
      <c r="AE28" s="2264"/>
      <c r="AF28" s="2264"/>
      <c r="AG28" s="2264"/>
      <c r="AH28" s="2264"/>
      <c r="AI28" s="326"/>
      <c r="AJ28" s="326"/>
      <c r="AK28" s="280"/>
      <c r="AL28" s="368"/>
      <c r="AM28" s="368"/>
      <c r="AN28" s="368"/>
      <c r="AO28" s="368"/>
      <c r="AP28" s="368"/>
      <c r="AQ28" s="418">
        <v>0</v>
      </c>
    </row>
    <row s="1853" customFormat="1" customHeight="1" ht="18.75" hidden="1">
      <c r="A29" s="1368"/>
      <c r="B29" s="1368"/>
      <c r="C29" s="1368"/>
      <c r="D29" s="1368"/>
      <c r="E29" s="1368"/>
      <c r="F29" s="1368"/>
      <c r="G29" s="1368"/>
      <c r="H29" s="1368"/>
      <c r="I29" s="1368"/>
      <c r="J29" s="1368"/>
      <c r="K29" s="1368"/>
      <c r="L29" s="1369"/>
      <c r="M29" s="1368"/>
      <c r="N29" s="1368"/>
      <c r="O29" s="1368"/>
      <c r="S29" s="2250" t="s">
        <v>426</v>
      </c>
      <c r="T29" s="2250"/>
      <c r="U29" s="1372"/>
      <c r="V29" s="2251" t="str">
        <f>IF(TITLE_NUMBER_PR_CHANGE="",IF(TITLE_NUMBER_PR="","",TITLE_NUMBER_PR),TITLE_NUMBER_PR_CHANGE)</f>
        <v/>
      </c>
      <c r="W29" s="2251"/>
      <c r="X29" s="2251"/>
      <c r="Y29" s="2251"/>
      <c r="Z29" s="2251"/>
      <c r="AA29" s="2251"/>
      <c r="AB29" s="326"/>
      <c r="AC29" s="2251" t="str">
        <f>IF(TITLE_NUMBER_PR_CHANGE="",IF(TITLE_NUMBER_PR="","",TITLE_NUMBER_PR),TITLE_NUMBER_PR_CHANGE)</f>
        <v/>
      </c>
      <c r="AD29" s="2251"/>
      <c r="AE29" s="2251"/>
      <c r="AF29" s="2251"/>
      <c r="AG29" s="2251"/>
      <c r="AH29" s="2251"/>
      <c r="AI29" s="326"/>
      <c r="AJ29" s="326"/>
      <c r="AK29" s="280"/>
      <c r="AL29" s="368"/>
      <c r="AM29" s="368"/>
      <c r="AN29" s="368"/>
      <c r="AO29" s="368"/>
      <c r="AP29" s="368"/>
      <c r="AQ29" s="418">
        <v>0</v>
      </c>
    </row>
    <row s="1853" customFormat="1" customHeight="1" ht="18.75" hidden="1">
      <c r="A30" s="1368"/>
      <c r="B30" s="1368"/>
      <c r="C30" s="1368"/>
      <c r="D30" s="1368"/>
      <c r="E30" s="1368"/>
      <c r="F30" s="1368"/>
      <c r="G30" s="1368"/>
      <c r="H30" s="1368"/>
      <c r="I30" s="1368"/>
      <c r="J30" s="1368"/>
      <c r="K30" s="1368"/>
      <c r="L30" s="1369"/>
      <c r="M30" s="1368"/>
      <c r="N30" s="1368"/>
      <c r="O30" s="1368"/>
      <c r="S30" s="2250" t="s">
        <v>43</v>
      </c>
      <c r="T30" s="2250"/>
      <c r="U30" s="1372"/>
      <c r="V30" s="2251" t="str">
        <f>IF(TITLE_IST_PUB_CHANGE="",IF(TITLE_IST_PUB="","",TITLE_IST_PUB),TITLE_IST_PUB_CHANGE)</f>
        <v/>
      </c>
      <c r="W30" s="2251"/>
      <c r="X30" s="2251"/>
      <c r="Y30" s="2251"/>
      <c r="Z30" s="2251"/>
      <c r="AA30" s="2251"/>
      <c r="AB30" s="326"/>
      <c r="AC30" s="2251" t="str">
        <f>IF(TITLE_IST_PUB_CHANGE="",IF(TITLE_IST_PUB="","",TITLE_IST_PUB),TITLE_IST_PUB_CHANGE)</f>
        <v/>
      </c>
      <c r="AD30" s="2251"/>
      <c r="AE30" s="2251"/>
      <c r="AF30" s="2251"/>
      <c r="AG30" s="2251"/>
      <c r="AH30" s="2251"/>
      <c r="AI30" s="326"/>
      <c r="AJ30" s="326"/>
      <c r="AK30" s="280"/>
      <c r="AL30" s="368"/>
      <c r="AM30" s="368"/>
      <c r="AN30" s="368"/>
      <c r="AO30" s="368"/>
      <c r="AP30" s="368"/>
      <c r="AQ30" s="418">
        <v>0</v>
      </c>
    </row>
    <row customHeight="1" ht="14.25" hidden="1">
      <c r="Q31" s="376"/>
      <c r="R31" s="376"/>
      <c r="S31" s="1275"/>
      <c r="T31" s="363"/>
      <c r="U31" s="363"/>
      <c r="V31" s="322"/>
      <c r="W31" s="322"/>
      <c r="X31" s="322"/>
      <c r="Y31" s="322"/>
      <c r="Z31" s="322"/>
      <c r="AA31" s="322"/>
      <c r="AB31" s="322"/>
      <c r="AC31" s="322"/>
      <c r="AD31" s="322"/>
      <c r="AE31" s="322"/>
      <c r="AF31" s="322"/>
      <c r="AG31" s="322"/>
      <c r="AH31" s="322"/>
      <c r="AI31" s="322"/>
      <c r="AJ31" s="509"/>
      <c r="AQ31" s="1155">
        <v>0</v>
      </c>
    </row>
    <row s="1853" customFormat="1" customHeight="1" ht="18.75" hidden="1">
      <c r="A32" s="1368"/>
      <c r="B32" s="1368"/>
      <c r="C32" s="1368"/>
      <c r="D32" s="1368"/>
      <c r="E32" s="1368"/>
      <c r="F32" s="1368"/>
      <c r="G32" s="1368"/>
      <c r="H32" s="1368"/>
      <c r="I32" s="1368"/>
      <c r="J32" s="1368"/>
      <c r="K32" s="1368"/>
      <c r="L32" s="1369"/>
      <c r="M32" s="1368"/>
      <c r="N32" s="1368"/>
      <c r="O32" s="1368"/>
      <c r="S32" s="2250" t="s">
        <v>427</v>
      </c>
      <c r="T32" s="2250"/>
      <c r="U32" s="1372"/>
      <c r="V32" s="2264" t="str">
        <f>IF(TITLE_DATE_PR_CHANGE="",IF(TITLE_DATE_PR="","",TITLE_DATE_PR),TITLE_DATE_PR_CHANGE)</f>
        <v/>
      </c>
      <c r="W32" s="2264"/>
      <c r="X32" s="2264"/>
      <c r="Y32" s="2264"/>
      <c r="Z32" s="2264"/>
      <c r="AA32" s="2264"/>
      <c r="AB32" s="326"/>
      <c r="AC32" s="2264" t="str">
        <f>IF(TITLE_DATE_PR_CHANGE="",IF(TITLE_DATE_PR="","",TITLE_DATE_PR),TITLE_DATE_PR_CHANGE)</f>
        <v/>
      </c>
      <c r="AD32" s="2264"/>
      <c r="AE32" s="2264"/>
      <c r="AF32" s="2264"/>
      <c r="AG32" s="2264"/>
      <c r="AH32" s="2264"/>
      <c r="AI32" s="326"/>
      <c r="AJ32" s="326"/>
      <c r="AK32" s="280"/>
      <c r="AL32" s="368"/>
      <c r="AM32" s="368"/>
      <c r="AN32" s="368"/>
      <c r="AO32" s="368"/>
      <c r="AP32" s="368"/>
      <c r="AQ32" s="418">
        <v>0</v>
      </c>
    </row>
    <row s="1853" customFormat="1" customHeight="1" ht="18.75" hidden="1">
      <c r="A33" s="1368"/>
      <c r="B33" s="1368"/>
      <c r="C33" s="1368"/>
      <c r="D33" s="1368"/>
      <c r="E33" s="1368"/>
      <c r="F33" s="1368"/>
      <c r="G33" s="1368"/>
      <c r="H33" s="1368"/>
      <c r="I33" s="1368"/>
      <c r="J33" s="1368"/>
      <c r="K33" s="1368"/>
      <c r="L33" s="1369"/>
      <c r="M33" s="1368"/>
      <c r="N33" s="1368"/>
      <c r="O33" s="1368"/>
      <c r="S33" s="2250" t="s">
        <v>428</v>
      </c>
      <c r="T33" s="2250"/>
      <c r="U33" s="1372"/>
      <c r="V33" s="2251" t="str">
        <f>IF(TITLE_NUMBER_PR_CHANGE="",IF(TITLE_NUMBER_PR="","",TITLE_NUMBER_PR),TITLE_NUMBER_PR_CHANGE)</f>
        <v/>
      </c>
      <c r="W33" s="2251"/>
      <c r="X33" s="2251"/>
      <c r="Y33" s="2251"/>
      <c r="Z33" s="2251"/>
      <c r="AA33" s="2251"/>
      <c r="AB33" s="326"/>
      <c r="AC33" s="2251" t="str">
        <f>IF(TITLE_NUMBER_PR_CHANGE="",IF(TITLE_NUMBER_PR="","",TITLE_NUMBER_PR),TITLE_NUMBER_PR_CHANGE)</f>
        <v/>
      </c>
      <c r="AD33" s="2251"/>
      <c r="AE33" s="2251"/>
      <c r="AF33" s="2251"/>
      <c r="AG33" s="2251"/>
      <c r="AH33" s="2251"/>
      <c r="AI33" s="326"/>
      <c r="AJ33" s="326"/>
      <c r="AK33" s="280"/>
      <c r="AL33" s="368"/>
      <c r="AM33" s="368"/>
      <c r="AN33" s="368"/>
      <c r="AO33" s="368"/>
      <c r="AP33" s="368"/>
      <c r="AQ33" s="418">
        <v>0</v>
      </c>
    </row>
    <row s="1853" customFormat="1" customHeight="1" ht="1.05">
      <c r="A34" s="1368"/>
      <c r="B34" s="1368"/>
      <c r="C34" s="1368"/>
      <c r="D34" s="1368"/>
      <c r="E34" s="1368"/>
      <c r="F34" s="1368"/>
      <c r="G34" s="1368"/>
      <c r="H34" s="1368"/>
      <c r="I34" s="1368"/>
      <c r="J34" s="1368"/>
      <c r="K34" s="1368"/>
      <c r="L34" s="1369"/>
      <c r="M34" s="1368"/>
      <c r="N34" s="1368"/>
      <c r="O34" s="1368"/>
      <c r="S34" s="323"/>
      <c r="T34" s="323"/>
      <c r="U34" s="1488"/>
      <c r="V34" s="326"/>
      <c r="W34" s="326"/>
      <c r="X34" s="326"/>
      <c r="Y34" s="326"/>
      <c r="Z34" s="326"/>
      <c r="AA34" s="326"/>
      <c r="AB34" s="278" t="s">
        <v>429</v>
      </c>
      <c r="AC34" s="326"/>
      <c r="AD34" s="326"/>
      <c r="AE34" s="326"/>
      <c r="AF34" s="326"/>
      <c r="AG34" s="326"/>
      <c r="AH34" s="326"/>
      <c r="AI34" s="278" t="s">
        <v>429</v>
      </c>
      <c r="AL34" s="368"/>
      <c r="AM34" s="368"/>
      <c r="AN34" s="368"/>
      <c r="AO34" s="368"/>
      <c r="AP34" s="368"/>
      <c r="AQ34" s="418">
        <v>1</v>
      </c>
    </row>
    <row customHeight="1" ht="14.699999999999998">
      <c r="Q35" s="376"/>
      <c r="R35" s="376"/>
      <c r="S35" s="1275"/>
      <c r="T35" s="363"/>
      <c r="U35" s="1244"/>
      <c r="V35" s="2252"/>
      <c r="W35" s="2252"/>
      <c r="X35" s="2252"/>
      <c r="Y35" s="2252"/>
      <c r="Z35" s="2252"/>
      <c r="AA35" s="2252"/>
      <c r="AB35" s="2252"/>
      <c r="AC35" s="2252"/>
      <c r="AD35" s="2252"/>
      <c r="AE35" s="2252"/>
      <c r="AF35" s="2252"/>
      <c r="AG35" s="2252"/>
      <c r="AH35" s="2252"/>
      <c r="AI35" s="2252"/>
      <c r="AQ35" s="1155">
        <v>14</v>
      </c>
    </row>
    <row customHeight="1" ht="14.699999999999998">
      <c r="Q36" s="376"/>
      <c r="R36" s="376"/>
      <c r="S36" s="2127" t="s">
        <v>302</v>
      </c>
      <c r="T36" s="2127"/>
      <c r="U36" s="2127"/>
      <c r="V36" s="2127"/>
      <c r="W36" s="2127"/>
      <c r="X36" s="2127"/>
      <c r="Y36" s="2127"/>
      <c r="Z36" s="2127"/>
      <c r="AA36" s="2127"/>
      <c r="AB36" s="2127"/>
      <c r="AC36" s="2127"/>
      <c r="AD36" s="2127"/>
      <c r="AE36" s="2127"/>
      <c r="AF36" s="2127"/>
      <c r="AG36" s="2127"/>
      <c r="AH36" s="2127"/>
      <c r="AI36" s="2127"/>
      <c r="AJ36" s="2127"/>
      <c r="AK36" s="2127" t="s">
        <v>303</v>
      </c>
      <c r="AQ36" s="1155">
        <v>14</v>
      </c>
    </row>
    <row customHeight="1" ht="14.699999999999998">
      <c r="Q37" s="376"/>
      <c r="R37" s="376"/>
      <c r="S37" s="2273" t="s">
        <v>88</v>
      </c>
      <c r="T37" s="2209" t="s">
        <v>430</v>
      </c>
      <c r="U37" s="301"/>
      <c r="V37" s="2274" t="s">
        <v>431</v>
      </c>
      <c r="W37" s="2275"/>
      <c r="X37" s="2275"/>
      <c r="Y37" s="2275"/>
      <c r="Z37" s="2275"/>
      <c r="AA37" s="2276"/>
      <c r="AB37" s="2277" t="s">
        <v>432</v>
      </c>
      <c r="AC37" s="2274" t="s">
        <v>431</v>
      </c>
      <c r="AD37" s="2275"/>
      <c r="AE37" s="2275"/>
      <c r="AF37" s="2275"/>
      <c r="AG37" s="2275"/>
      <c r="AH37" s="2276"/>
      <c r="AI37" s="2277" t="s">
        <v>433</v>
      </c>
      <c r="AJ37" s="2280" t="s">
        <v>434</v>
      </c>
      <c r="AK37" s="2127"/>
      <c r="AQ37" s="1155">
        <v>14</v>
      </c>
    </row>
    <row customHeight="1" ht="35.699999999999996">
      <c r="Q38" s="376"/>
      <c r="R38" s="376"/>
      <c r="S38" s="2273"/>
      <c r="T38" s="2209"/>
      <c r="U38" s="1031"/>
      <c r="V38" s="1483" t="s">
        <v>491</v>
      </c>
      <c r="W38" s="2262" t="s">
        <v>437</v>
      </c>
      <c r="X38" s="2263"/>
      <c r="Y38" s="2262" t="s">
        <v>438</v>
      </c>
      <c r="Z38" s="2269"/>
      <c r="AA38" s="2263"/>
      <c r="AB38" s="2278"/>
      <c r="AC38" s="1483" t="s">
        <v>491</v>
      </c>
      <c r="AD38" s="2262" t="s">
        <v>437</v>
      </c>
      <c r="AE38" s="2263"/>
      <c r="AF38" s="2262" t="s">
        <v>438</v>
      </c>
      <c r="AG38" s="2269"/>
      <c r="AH38" s="2263"/>
      <c r="AI38" s="2278"/>
      <c r="AJ38" s="2281"/>
      <c r="AK38" s="2127"/>
      <c r="AQ38" s="1155">
        <v>34</v>
      </c>
    </row>
    <row customHeight="1" ht="90.3">
      <c r="A39" s="1370"/>
      <c r="B39" s="1370" t="s">
        <v>139</v>
      </c>
      <c r="C39" s="1370" t="s">
        <v>140</v>
      </c>
      <c r="D39" s="1370" t="s">
        <v>141</v>
      </c>
      <c r="E39" s="1364" t="s">
        <v>439</v>
      </c>
      <c r="F39" s="1364" t="s">
        <v>440</v>
      </c>
      <c r="G39" s="1364" t="s">
        <v>441</v>
      </c>
      <c r="H39" s="1364"/>
      <c r="I39" s="1364" t="s">
        <v>492</v>
      </c>
      <c r="J39" s="1364" t="s">
        <v>444</v>
      </c>
      <c r="K39" s="1364" t="s">
        <v>493</v>
      </c>
      <c r="L39" s="1364" t="s">
        <v>420</v>
      </c>
      <c r="Q39" s="376"/>
      <c r="R39" s="376"/>
      <c r="S39" s="2273"/>
      <c r="T39" s="2209"/>
      <c r="U39" s="302"/>
      <c r="V39" s="1483" t="s">
        <v>520</v>
      </c>
      <c r="W39" s="1222" t="s">
        <v>521</v>
      </c>
      <c r="X39" s="1222" t="s">
        <v>496</v>
      </c>
      <c r="Y39" s="1489" t="s">
        <v>448</v>
      </c>
      <c r="Z39" s="2270" t="s">
        <v>449</v>
      </c>
      <c r="AA39" s="2271"/>
      <c r="AB39" s="2279"/>
      <c r="AC39" s="1483" t="s">
        <v>520</v>
      </c>
      <c r="AD39" s="1222" t="s">
        <v>521</v>
      </c>
      <c r="AE39" s="1222" t="s">
        <v>496</v>
      </c>
      <c r="AF39" s="1489" t="s">
        <v>448</v>
      </c>
      <c r="AG39" s="2270" t="s">
        <v>449</v>
      </c>
      <c r="AH39" s="2271"/>
      <c r="AI39" s="2279"/>
      <c r="AJ39" s="2282"/>
      <c r="AK39" s="2127"/>
      <c r="AQ39" s="1155">
        <v>86</v>
      </c>
    </row>
    <row s="1641" customFormat="1" customHeight="1" ht="0">
      <c r="A40" s="1370"/>
      <c r="B40" s="1370"/>
      <c r="C40" s="1370"/>
      <c r="D40" s="1370"/>
      <c r="E40" s="1370"/>
      <c r="F40" s="1370"/>
      <c r="G40" s="1370"/>
      <c r="H40" s="1370"/>
      <c r="I40" s="1370"/>
      <c r="J40" s="1370"/>
      <c r="K40" s="1370"/>
      <c r="L40" s="1364"/>
      <c r="M40" s="1362"/>
      <c r="N40" s="1362"/>
      <c r="O40" s="1362"/>
      <c r="P40" s="1246"/>
      <c r="Q40" s="1247"/>
      <c r="R40" s="1254">
        <v>1</v>
      </c>
      <c r="S40" s="1277" t="s">
        <v>109</v>
      </c>
      <c r="T40" s="1255" t="s">
        <v>110</v>
      </c>
      <c r="U40" s="1245" t="str">
        <f>OFFSET(U40,0,-1)</f>
        <v>2</v>
      </c>
      <c r="V40" s="1482">
        <f>OFFSET(V40,0,-1)+1</f>
        <v>3</v>
      </c>
      <c r="W40" s="1482">
        <f>OFFSET(W40,0,-1)+1</f>
        <v>4</v>
      </c>
      <c r="X40" s="1482">
        <f>OFFSET(X40,0,-1)+1</f>
        <v>5</v>
      </c>
      <c r="Y40" s="1482">
        <f>OFFSET(Y40,0,-1)+1</f>
        <v>6</v>
      </c>
      <c r="Z40" s="2272">
        <f>OFFSET(Z40,0,-1)+1</f>
        <v>7</v>
      </c>
      <c r="AA40" s="2272"/>
      <c r="AB40" s="1482">
        <f>OFFSET(AB40,0,-2)+1</f>
        <v>8</v>
      </c>
      <c r="AC40" s="1482">
        <f>OFFSET(AC40,0,-1)+1</f>
        <v>9</v>
      </c>
      <c r="AD40" s="1482">
        <f>OFFSET(AD40,0,-1)+1</f>
        <v>10</v>
      </c>
      <c r="AE40" s="1482">
        <f>OFFSET(AE40,0,-1)+1</f>
        <v>11</v>
      </c>
      <c r="AF40" s="1482">
        <f>OFFSET(AF40,0,-1)+1</f>
        <v>12</v>
      </c>
      <c r="AG40" s="2272">
        <f>OFFSET(AG40,0,-1)+1</f>
        <v>13</v>
      </c>
      <c r="AH40" s="2272"/>
      <c r="AI40" s="1482">
        <f>OFFSET(AI40,0,-2)+1</f>
        <v>14</v>
      </c>
      <c r="AJ40" s="1245">
        <f>OFFSET(AJ40,0,-1)</f>
        <v>14</v>
      </c>
      <c r="AK40" s="1482">
        <f>OFFSET(AK40,0,-1)+1</f>
        <v>15</v>
      </c>
      <c r="AL40" s="511"/>
      <c r="AM40" s="511"/>
      <c r="AN40" s="511"/>
      <c r="AO40" s="511"/>
      <c r="AP40" s="511"/>
      <c r="AQ40" s="496">
        <v>0</v>
      </c>
    </row>
    <row customHeight="1" ht="24">
      <c r="A41" s="1363" t="s">
        <v>273</v>
      </c>
      <c r="B41" s="1363"/>
      <c r="C41" s="1363"/>
      <c r="D41" s="1363"/>
      <c r="E41" s="2258">
        <v>1</v>
      </c>
      <c r="F41" s="1363"/>
      <c r="G41" s="1363"/>
      <c r="H41" s="1363"/>
      <c r="I41" s="1363"/>
      <c r="J41" s="1363"/>
      <c r="K41" s="1363"/>
      <c r="L41" s="1364"/>
      <c r="M41" s="1365"/>
      <c r="N41" s="1365"/>
      <c r="O41" s="1365"/>
      <c r="P41" s="361"/>
      <c r="Q41" s="360"/>
      <c r="R41" s="355"/>
      <c r="S41" s="1493">
        <f>INDEX(PT_DIFFERENTIATION_NUM_NTAR,MATCH(A41,PT_DIFFERENTIATION_NTAR_ID,0))</f>
        <v>0</v>
      </c>
      <c r="T41" s="298" t="s">
        <v>127</v>
      </c>
      <c r="U41" s="300"/>
      <c r="V41" s="2242"/>
      <c r="W41" s="2243"/>
      <c r="X41" s="2243"/>
      <c r="Y41" s="2243"/>
      <c r="Z41" s="2243"/>
      <c r="AA41" s="2243"/>
      <c r="AB41" s="2244"/>
      <c r="AC41" s="2242" t="str">
        <f>INDEX(PT_DIFFERENTIATION_NTAR,MATCH(A41,PT_DIFFERENTIATION_NTAR_ID,0))</f>
        <v/>
      </c>
      <c r="AD41" s="2243"/>
      <c r="AE41" s="2243"/>
      <c r="AF41" s="2243"/>
      <c r="AG41" s="2243"/>
      <c r="AH41" s="2243"/>
      <c r="AI41" s="2243"/>
      <c r="AJ41" s="2244"/>
      <c r="AK41"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00"/>
      <c r="AN41" s="500" t="str">
        <f>IF(T41="","",T41)</f>
        <v>Наименование тарифа</v>
      </c>
      <c r="AO41" s="500"/>
      <c r="AP41" s="500"/>
      <c r="AQ41" s="1155">
        <v>23</v>
      </c>
    </row>
    <row customHeight="1" ht="24">
      <c r="A42" s="1363" t="s">
        <v>273</v>
      </c>
      <c r="B42" s="1363" t="s">
        <v>274</v>
      </c>
      <c r="C42" s="1363"/>
      <c r="D42" s="1363"/>
      <c r="E42" s="2259"/>
      <c r="F42" s="2258">
        <v>1</v>
      </c>
      <c r="G42" s="1363"/>
      <c r="H42" s="1363"/>
      <c r="I42" s="1363"/>
      <c r="J42" s="1363"/>
      <c r="K42" s="1363"/>
      <c r="L42" s="1364"/>
      <c r="M42" s="1365"/>
      <c r="N42" s="1365"/>
      <c r="O42" s="1365"/>
      <c r="P42" s="1487"/>
      <c r="Q42" s="352"/>
      <c r="R42" s="353"/>
      <c r="S42" s="1493" t="str">
        <f>INDEX(PT_DIFFERENTIATION_NUM_TER,MATCH(B42,PT_DIFFERENTIATION_TER_ID,0))</f>
        <v>.</v>
      </c>
      <c r="T42" s="308" t="s">
        <v>399</v>
      </c>
      <c r="U42" s="300"/>
      <c r="V42" s="2242"/>
      <c r="W42" s="2243"/>
      <c r="X42" s="2243"/>
      <c r="Y42" s="2243"/>
      <c r="Z42" s="2243"/>
      <c r="AA42" s="2243"/>
      <c r="AB42" s="2244"/>
      <c r="AC42" s="2242" t="str">
        <f>INDEX(PT_DIFFERENTIATION_TER,MATCH(B42,PT_DIFFERENTIATION_TER_ID,0))</f>
        <v/>
      </c>
      <c r="AD42" s="2243"/>
      <c r="AE42" s="2243"/>
      <c r="AF42" s="2243"/>
      <c r="AG42" s="2243"/>
      <c r="AH42" s="2243"/>
      <c r="AI42" s="2243"/>
      <c r="AJ42" s="2244"/>
      <c r="AK42" s="1258" t="s">
        <v>400</v>
      </c>
      <c r="AM42" s="500"/>
      <c r="AN42" s="500" t="str">
        <f>IF(T42="","",T42)</f>
        <v>Территория действия тарифа</v>
      </c>
      <c r="AO42" s="500"/>
      <c r="AP42" s="500"/>
      <c r="AQ42" s="1155">
        <v>23</v>
      </c>
    </row>
    <row customHeight="1" ht="24">
      <c r="A43" s="1363" t="s">
        <v>273</v>
      </c>
      <c r="B43" s="1363" t="s">
        <v>274</v>
      </c>
      <c r="C43" s="1363" t="s">
        <v>275</v>
      </c>
      <c r="D43" s="1363"/>
      <c r="E43" s="2259"/>
      <c r="F43" s="2259"/>
      <c r="G43" s="2258">
        <v>1</v>
      </c>
      <c r="H43" s="1363"/>
      <c r="I43" s="1363"/>
      <c r="J43" s="1363"/>
      <c r="K43" s="1363"/>
      <c r="L43" s="1364"/>
      <c r="M43" s="1365"/>
      <c r="N43" s="1365"/>
      <c r="O43" s="1365"/>
      <c r="P43" s="354"/>
      <c r="Q43" s="352"/>
      <c r="R43" s="353"/>
      <c r="S43" s="1493" t="str">
        <f>INDEX(PT_DIFFERENTIATION_NUM_CS,MATCH(C43,PT_DIFFERENTIATION_CS_ID,0))</f>
        <v>..</v>
      </c>
      <c r="T43" s="309" t="s">
        <v>518</v>
      </c>
      <c r="U43" s="300"/>
      <c r="V43" s="2242"/>
      <c r="W43" s="2243"/>
      <c r="X43" s="2243"/>
      <c r="Y43" s="2243"/>
      <c r="Z43" s="2243"/>
      <c r="AA43" s="2243"/>
      <c r="AB43" s="2244"/>
      <c r="AC43" s="2242" t="str">
        <f>INDEX(PT_DIFFERENTIATION_CS,MATCH(C43,PT_DIFFERENTIATION_CS_ID,0))</f>
        <v/>
      </c>
      <c r="AD43" s="2243"/>
      <c r="AE43" s="2243"/>
      <c r="AF43" s="2243"/>
      <c r="AG43" s="2243"/>
      <c r="AH43" s="2243"/>
      <c r="AI43" s="2243"/>
      <c r="AJ43" s="2244"/>
      <c r="AK43" s="1258" t="s">
        <v>519</v>
      </c>
      <c r="AM43" s="500"/>
      <c r="AN43" s="500" t="str">
        <f>IF(T43="","",T43)</f>
        <v>Наименование централизованной системы водоотведения</v>
      </c>
      <c r="AO43" s="500"/>
      <c r="AP43" s="500"/>
      <c r="AQ43" s="1155">
        <v>23</v>
      </c>
    </row>
    <row customHeight="1" ht="24">
      <c r="A44" s="1363" t="s">
        <v>273</v>
      </c>
      <c r="B44" s="1363" t="s">
        <v>274</v>
      </c>
      <c r="C44" s="1363" t="s">
        <v>275</v>
      </c>
      <c r="D44" s="1363" t="s">
        <v>523</v>
      </c>
      <c r="E44" s="2259"/>
      <c r="F44" s="2259"/>
      <c r="G44" s="2259"/>
      <c r="H44" s="2259"/>
      <c r="I44" s="2256" t="str">
        <f>S43&amp;".1"</f>
        <v>...1</v>
      </c>
      <c r="J44" s="1363"/>
      <c r="K44" s="1363"/>
      <c r="L44" s="1364"/>
      <c r="P44" s="2257">
        <v>1</v>
      </c>
      <c r="Q44" s="1481"/>
      <c r="R44" s="356"/>
      <c r="S44" s="1493" t="str">
        <f>$I44</f>
        <v>...1</v>
      </c>
      <c r="T44" s="285" t="s">
        <v>485</v>
      </c>
      <c r="U44" s="300"/>
      <c r="V44" s="2350"/>
      <c r="W44" s="2351"/>
      <c r="X44" s="2351"/>
      <c r="Y44" s="2351"/>
      <c r="Z44" s="2351"/>
      <c r="AA44" s="2351"/>
      <c r="AB44" s="2352"/>
      <c r="AC44" s="2353"/>
      <c r="AD44" s="2354"/>
      <c r="AE44" s="2354"/>
      <c r="AF44" s="2354"/>
      <c r="AG44" s="2354"/>
      <c r="AH44" s="2354"/>
      <c r="AI44" s="2354"/>
      <c r="AJ44" s="2355"/>
      <c r="AK44" s="1258" t="s">
        <v>486</v>
      </c>
      <c r="AM44" s="500"/>
      <c r="AN44" s="500" t="str">
        <f>IF(T44="","",T44)</f>
        <v>Наименование признака дифференциации</v>
      </c>
      <c r="AO44" s="500"/>
      <c r="AP44" s="500"/>
      <c r="AQ44" s="1155">
        <v>23</v>
      </c>
    </row>
    <row customHeight="1" ht="24">
      <c r="A45" s="1363" t="s">
        <v>273</v>
      </c>
      <c r="B45" s="1363" t="s">
        <v>274</v>
      </c>
      <c r="C45" s="1363" t="s">
        <v>275</v>
      </c>
      <c r="D45" s="1363" t="s">
        <v>523</v>
      </c>
      <c r="E45" s="2259"/>
      <c r="F45" s="2259"/>
      <c r="G45" s="2259"/>
      <c r="H45" s="2259"/>
      <c r="I45" s="2286"/>
      <c r="J45" s="2256" t="str">
        <f>I44&amp;".1"</f>
        <v>...1.1</v>
      </c>
      <c r="K45" s="1363"/>
      <c r="L45" s="1364" t="s">
        <v>408</v>
      </c>
      <c r="P45" s="2257"/>
      <c r="Q45" s="2257">
        <v>1</v>
      </c>
      <c r="R45" s="357"/>
      <c r="S45" s="1493" t="str">
        <f>$J45</f>
        <v>...1.1</v>
      </c>
      <c r="T45" s="286" t="s">
        <v>409</v>
      </c>
      <c r="U45" s="300"/>
      <c r="V45" s="2245"/>
      <c r="W45" s="2246"/>
      <c r="X45" s="2246"/>
      <c r="Y45" s="2246"/>
      <c r="Z45" s="2246"/>
      <c r="AA45" s="2246"/>
      <c r="AB45" s="2247"/>
      <c r="AC45" s="2245"/>
      <c r="AD45" s="2246"/>
      <c r="AE45" s="2246"/>
      <c r="AF45" s="2246"/>
      <c r="AG45" s="2246"/>
      <c r="AH45" s="2246"/>
      <c r="AI45" s="2246"/>
      <c r="AJ45" s="2247"/>
      <c r="AK45" s="1307" t="s">
        <v>487</v>
      </c>
      <c r="AM45" s="500"/>
      <c r="AN45" s="500" t="str">
        <f>IF(T45="","",T45)</f>
        <v>Группа потребителей</v>
      </c>
      <c r="AO45" s="500"/>
      <c r="AP45" s="500"/>
      <c r="AQ45" s="1155">
        <v>23</v>
      </c>
    </row>
    <row customHeight="1" ht="24">
      <c r="A46" s="1363" t="s">
        <v>273</v>
      </c>
      <c r="B46" s="1363" t="s">
        <v>274</v>
      </c>
      <c r="C46" s="1363" t="s">
        <v>275</v>
      </c>
      <c r="D46" s="1363" t="s">
        <v>523</v>
      </c>
      <c r="E46" s="2259"/>
      <c r="F46" s="2259"/>
      <c r="G46" s="2259"/>
      <c r="H46" s="2259"/>
      <c r="I46" s="2286"/>
      <c r="J46" s="2286"/>
      <c r="K46" s="2256" t="str">
        <f>J45&amp;".1"</f>
        <v>...1.1.1</v>
      </c>
      <c r="L46" s="1364"/>
      <c r="P46" s="2257"/>
      <c r="Q46" s="2257"/>
      <c r="R46" s="357">
        <v>1</v>
      </c>
      <c r="S46" s="1493" t="str">
        <f>$K46</f>
        <v>...1.1.1</v>
      </c>
      <c r="T46" s="1437"/>
      <c r="U46" s="300"/>
      <c r="V46" s="1360"/>
      <c r="W46" s="1360"/>
      <c r="X46" s="1361"/>
      <c r="Y46" s="2267"/>
      <c r="Z46" s="2268" t="s">
        <v>66</v>
      </c>
      <c r="AA46" s="2267"/>
      <c r="AB46" s="2268" t="s">
        <v>66</v>
      </c>
      <c r="AC46" s="751"/>
      <c r="AD46" s="751"/>
      <c r="AE46" s="1257"/>
      <c r="AF46" s="2265"/>
      <c r="AG46" s="2107" t="s">
        <v>66</v>
      </c>
      <c r="AH46" s="2287"/>
      <c r="AI46" s="2107" t="s">
        <v>19</v>
      </c>
      <c r="AJ46" s="1438"/>
      <c r="AK46" s="234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1">
        <f>STRCHECKDATE(V47:AJ47)</f>
      </c>
      <c r="AM46" s="500"/>
      <c r="AN46" s="500" t="str">
        <f>IF(T46="","",T46)</f>
        <v/>
      </c>
      <c r="AO46" s="500"/>
      <c r="AP46" s="500"/>
      <c r="AQ46" s="1155">
        <v>23</v>
      </c>
    </row>
    <row customHeight="1" ht="0">
      <c r="A47" s="1363" t="s">
        <v>273</v>
      </c>
      <c r="B47" s="1363" t="s">
        <v>274</v>
      </c>
      <c r="C47" s="1363" t="s">
        <v>275</v>
      </c>
      <c r="D47" s="1363" t="s">
        <v>523</v>
      </c>
      <c r="E47" s="2259"/>
      <c r="F47" s="2259"/>
      <c r="G47" s="2259"/>
      <c r="H47" s="2259"/>
      <c r="I47" s="2286"/>
      <c r="J47" s="2286"/>
      <c r="K47" s="2256"/>
      <c r="L47" s="1364"/>
      <c r="P47" s="2257"/>
      <c r="Q47" s="2257"/>
      <c r="R47" s="357"/>
      <c r="S47" s="1490"/>
      <c r="T47" s="300"/>
      <c r="U47" s="300"/>
      <c r="V47" s="1360"/>
      <c r="W47" s="1360"/>
      <c r="X47" s="328" t="str">
        <f>Y46&amp;"-"&amp;AA46</f>
        <v>-</v>
      </c>
      <c r="Y47" s="2268"/>
      <c r="Z47" s="2268"/>
      <c r="AA47" s="2268"/>
      <c r="AB47" s="2268"/>
      <c r="AC47" s="325"/>
      <c r="AD47" s="325"/>
      <c r="AE47" s="328" t="str">
        <f>AF46&amp;"-"&amp;AH46</f>
        <v>-</v>
      </c>
      <c r="AF47" s="2266"/>
      <c r="AG47" s="2107"/>
      <c r="AH47" s="2288"/>
      <c r="AI47" s="2107"/>
      <c r="AJ47" s="1439"/>
      <c r="AK47" s="2349"/>
      <c r="AM47" s="500"/>
      <c r="AN47" s="500" t="str">
        <f>IF(T47="","",T47)</f>
        <v/>
      </c>
      <c r="AO47" s="500"/>
      <c r="AP47" s="500"/>
      <c r="AQ47" s="1155">
        <v>0</v>
      </c>
    </row>
    <row customHeight="1" ht="21">
      <c r="A48" s="1363" t="s">
        <v>273</v>
      </c>
      <c r="B48" s="1363" t="s">
        <v>274</v>
      </c>
      <c r="C48" s="1363" t="s">
        <v>275</v>
      </c>
      <c r="D48" s="1363" t="s">
        <v>523</v>
      </c>
      <c r="E48" s="2259"/>
      <c r="F48" s="2259"/>
      <c r="G48" s="2259"/>
      <c r="H48" s="2259"/>
      <c r="I48" s="2286"/>
      <c r="J48" s="2256"/>
      <c r="K48" s="1363"/>
      <c r="L48" s="1364"/>
      <c r="P48" s="2257"/>
      <c r="Q48" s="2257"/>
      <c r="R48" s="356"/>
      <c r="S48" s="1278"/>
      <c r="T48" s="287" t="s">
        <v>488</v>
      </c>
      <c r="U48" s="367"/>
      <c r="V48" s="367"/>
      <c r="W48" s="367"/>
      <c r="X48" s="367"/>
      <c r="Y48" s="367"/>
      <c r="Z48" s="367"/>
      <c r="AA48" s="367"/>
      <c r="AB48" s="367"/>
      <c r="AC48" s="367"/>
      <c r="AD48" s="367"/>
      <c r="AE48" s="367"/>
      <c r="AF48" s="367"/>
      <c r="AG48" s="367"/>
      <c r="AH48" s="367"/>
      <c r="AI48" s="367"/>
      <c r="AJ48" s="367"/>
      <c r="AK48" s="1258" t="s">
        <v>489</v>
      </c>
      <c r="AM48" s="500"/>
      <c r="AN48" s="500" t="str">
        <f>IF(T48="","",T48)</f>
        <v>Добавить значение признака дифференциации</v>
      </c>
      <c r="AO48" s="500"/>
      <c r="AP48" s="500"/>
      <c r="AQ48" s="1155">
        <v>20</v>
      </c>
    </row>
    <row customHeight="1" ht="22.049999999999997">
      <c r="A49" s="1363" t="s">
        <v>273</v>
      </c>
      <c r="B49" s="1363" t="s">
        <v>274</v>
      </c>
      <c r="C49" s="1363" t="s">
        <v>275</v>
      </c>
      <c r="D49" s="1363" t="s">
        <v>523</v>
      </c>
      <c r="E49" s="2259"/>
      <c r="F49" s="2259"/>
      <c r="G49" s="2259"/>
      <c r="H49" s="2259"/>
      <c r="I49" s="2256"/>
      <c r="J49" s="1363"/>
      <c r="K49" s="1363"/>
      <c r="L49" s="1364"/>
      <c r="P49" s="2257"/>
      <c r="Q49" s="1481"/>
      <c r="R49" s="356"/>
      <c r="S49" s="1278"/>
      <c r="T49" s="365" t="s">
        <v>414</v>
      </c>
      <c r="U49" s="367"/>
      <c r="V49" s="367"/>
      <c r="W49" s="367"/>
      <c r="X49" s="367"/>
      <c r="Y49" s="367"/>
      <c r="Z49" s="367"/>
      <c r="AA49" s="367"/>
      <c r="AB49" s="366"/>
      <c r="AC49" s="367"/>
      <c r="AD49" s="367"/>
      <c r="AE49" s="367"/>
      <c r="AF49" s="367"/>
      <c r="AG49" s="367"/>
      <c r="AH49" s="367"/>
      <c r="AI49" s="366"/>
      <c r="AJ49" s="367"/>
      <c r="AK49" s="1440"/>
      <c r="AM49" s="500"/>
      <c r="AN49" s="500" t="str">
        <f>IF(T49="","",T49)</f>
        <v>Добавить группу потребителей</v>
      </c>
      <c r="AO49" s="500"/>
      <c r="AP49" s="500"/>
      <c r="AQ49" s="1155">
        <v>21</v>
      </c>
    </row>
    <row customHeight="1" ht="22.049999999999997">
      <c r="A50" s="1363" t="s">
        <v>273</v>
      </c>
      <c r="B50" s="1363" t="s">
        <v>274</v>
      </c>
      <c r="C50" s="1363" t="s">
        <v>275</v>
      </c>
      <c r="D50" s="1363" t="s">
        <v>523</v>
      </c>
      <c r="E50" s="2259"/>
      <c r="F50" s="2259"/>
      <c r="G50" s="2259"/>
      <c r="H50" s="2258"/>
      <c r="I50" s="1363"/>
      <c r="J50" s="1363"/>
      <c r="K50" s="1363"/>
      <c r="L50" s="1364"/>
      <c r="M50" s="1365"/>
      <c r="N50" s="1365"/>
      <c r="O50" s="537"/>
      <c r="P50" s="360"/>
      <c r="Q50" s="375"/>
      <c r="R50" s="355"/>
      <c r="S50" s="1278"/>
      <c r="T50" s="372" t="s">
        <v>490</v>
      </c>
      <c r="U50" s="367"/>
      <c r="V50" s="367"/>
      <c r="W50" s="367"/>
      <c r="X50" s="367"/>
      <c r="Y50" s="367"/>
      <c r="Z50" s="367"/>
      <c r="AA50" s="367"/>
      <c r="AB50" s="366"/>
      <c r="AC50" s="367"/>
      <c r="AD50" s="367"/>
      <c r="AE50" s="367"/>
      <c r="AF50" s="367"/>
      <c r="AG50" s="367"/>
      <c r="AH50" s="367"/>
      <c r="AI50" s="366"/>
      <c r="AJ50" s="367"/>
      <c r="AK50" s="303"/>
      <c r="AM50" s="500"/>
      <c r="AN50" s="500" t="str">
        <f>IF(T50="","",T50)</f>
        <v>Добавить наименование признака дифференциации</v>
      </c>
      <c r="AO50" s="500"/>
      <c r="AP50" s="500"/>
      <c r="AQ50" s="1155">
        <v>21</v>
      </c>
    </row>
    <row s="1642" customFormat="1" customHeight="1" ht="0">
      <c r="A51" s="1343" t="s">
        <v>273</v>
      </c>
      <c r="B51" s="1343" t="s">
        <v>274</v>
      </c>
      <c r="C51" s="1314"/>
      <c r="D51" s="1314"/>
      <c r="E51" s="2259"/>
      <c r="F51" s="2258"/>
      <c r="G51" s="1314"/>
      <c r="H51" s="1314"/>
      <c r="I51" s="1314"/>
      <c r="J51" s="1314"/>
      <c r="K51" s="1314"/>
      <c r="L51" s="1494"/>
      <c r="M51" s="1321"/>
      <c r="N51" s="1321"/>
      <c r="P51" s="1316"/>
      <c r="Q51" s="1317"/>
      <c r="R51" s="1316"/>
      <c r="S51" s="1322"/>
      <c r="T51" s="1325" t="s">
        <v>417</v>
      </c>
      <c r="U51" s="1324"/>
      <c r="V51" s="1324"/>
      <c r="W51" s="1324"/>
      <c r="X51" s="1324"/>
      <c r="Y51" s="1324"/>
      <c r="Z51" s="1324"/>
      <c r="AA51" s="1324"/>
      <c r="AB51" s="1324"/>
      <c r="AC51" s="1324"/>
      <c r="AD51" s="1324"/>
      <c r="AE51" s="1324"/>
      <c r="AF51" s="1324"/>
      <c r="AG51" s="1324"/>
      <c r="AH51" s="1324"/>
      <c r="AI51" s="1324"/>
      <c r="AJ51" s="1324"/>
      <c r="AK51" s="1324"/>
      <c r="AM51" s="789"/>
      <c r="AN51" s="789" t="str">
        <f>IF(T51="","",T51)</f>
        <v>Добавить централизованную систему для дифференциации</v>
      </c>
      <c r="AO51" s="789"/>
      <c r="AP51" s="789"/>
      <c r="AQ51" s="518">
        <v>0</v>
      </c>
    </row>
    <row s="1642" customFormat="1" customHeight="1" ht="0">
      <c r="A52" s="1343" t="s">
        <v>273</v>
      </c>
      <c r="B52" s="1343"/>
      <c r="C52" s="1343"/>
      <c r="D52" s="1343"/>
      <c r="E52" s="2258"/>
      <c r="F52" s="1343"/>
      <c r="G52" s="1343"/>
      <c r="H52" s="1343"/>
      <c r="I52" s="1343"/>
      <c r="J52" s="1343"/>
      <c r="K52" s="1343"/>
      <c r="L52" s="1346"/>
      <c r="M52" s="1321"/>
      <c r="N52" s="1321"/>
      <c r="O52" s="518"/>
      <c r="P52" s="380"/>
      <c r="Q52" s="1344"/>
      <c r="R52" s="380"/>
      <c r="S52" s="1322"/>
      <c r="T52" s="1325" t="s">
        <v>418</v>
      </c>
      <c r="U52" s="1324"/>
      <c r="V52" s="1324"/>
      <c r="W52" s="1324"/>
      <c r="X52" s="1324"/>
      <c r="Y52" s="1324"/>
      <c r="Z52" s="1324"/>
      <c r="AA52" s="1324"/>
      <c r="AB52" s="1324"/>
      <c r="AC52" s="1324"/>
      <c r="AD52" s="1324"/>
      <c r="AE52" s="1324"/>
      <c r="AF52" s="1324"/>
      <c r="AG52" s="1324"/>
      <c r="AH52" s="1324"/>
      <c r="AI52" s="1324"/>
      <c r="AJ52" s="1324"/>
      <c r="AK52" s="1324"/>
      <c r="AM52" s="500"/>
      <c r="AN52" s="500" t="str">
        <f>IF(T52="","",T52)</f>
        <v>Добавить территорию для дифференциации</v>
      </c>
      <c r="AO52" s="500"/>
      <c r="AP52" s="500"/>
      <c r="AQ52" s="511">
        <v>0</v>
      </c>
    </row>
    <row s="1642" customFormat="1" customHeight="1" ht="0">
      <c r="A53" s="1314"/>
      <c r="B53" s="1314"/>
      <c r="C53" s="1314"/>
      <c r="D53" s="1314"/>
      <c r="E53" s="1343"/>
      <c r="F53" s="1314"/>
      <c r="G53" s="1314"/>
      <c r="H53" s="1314"/>
      <c r="I53" s="1314"/>
      <c r="J53" s="1314"/>
      <c r="K53" s="1314"/>
      <c r="L53" s="1494"/>
      <c r="M53" s="1321"/>
      <c r="N53" s="1321"/>
      <c r="P53" s="1316"/>
      <c r="Q53" s="1317"/>
      <c r="R53" s="1316"/>
      <c r="S53" s="1322"/>
      <c r="T53" s="1325" t="s">
        <v>450</v>
      </c>
      <c r="U53" s="1324"/>
      <c r="V53" s="1324"/>
      <c r="W53" s="1324"/>
      <c r="X53" s="1324"/>
      <c r="Y53" s="1324"/>
      <c r="Z53" s="1324"/>
      <c r="AA53" s="1324"/>
      <c r="AB53" s="1324"/>
      <c r="AC53" s="1324"/>
      <c r="AD53" s="1324"/>
      <c r="AE53" s="1324"/>
      <c r="AF53" s="1324"/>
      <c r="AG53" s="1324"/>
      <c r="AH53" s="1324"/>
      <c r="AI53" s="1324"/>
      <c r="AJ53" s="1324"/>
      <c r="AK53" s="1324"/>
      <c r="AM53" s="789"/>
      <c r="AN53" s="789" t="str">
        <f>IF(T53="","",T53)</f>
        <v>Добавить наименование тарифа</v>
      </c>
      <c r="AO53" s="789"/>
      <c r="AP53" s="789"/>
      <c r="AQ53" s="518">
        <v>0</v>
      </c>
    </row>
    <row customHeight="1" ht="11.549999999999999">
      <c r="M54" s="1160"/>
      <c r="N54" s="1160"/>
      <c r="O54" s="537"/>
      <c r="P54" s="1155"/>
      <c r="Q54" s="1155"/>
      <c r="R54" s="1155"/>
      <c r="S54" s="1155"/>
      <c r="AL54" s="1155"/>
      <c r="AM54" s="1155"/>
      <c r="AN54" s="1155"/>
      <c r="AO54" s="1155"/>
      <c r="AP54" s="1155"/>
      <c r="AQ54" s="1155">
        <v>11</v>
      </c>
    </row>
    <row customHeight="1" ht="14.699999999999998">
      <c r="O55" s="537"/>
      <c r="S55" s="1253"/>
      <c r="T55" s="2285"/>
      <c r="U55" s="2285"/>
      <c r="V55" s="2285"/>
      <c r="W55" s="2285"/>
      <c r="X55" s="2285"/>
      <c r="Y55" s="2285"/>
      <c r="Z55" s="2285"/>
      <c r="AA55" s="2285"/>
      <c r="AB55" s="2285"/>
      <c r="AC55" s="2285"/>
      <c r="AD55" s="2285"/>
      <c r="AE55" s="2285"/>
      <c r="AF55" s="2285"/>
      <c r="AG55" s="2285"/>
      <c r="AH55" s="2285"/>
      <c r="AI55" s="2285"/>
      <c r="AJ55" s="2285"/>
      <c r="AK55" s="2285"/>
      <c r="AQ55" s="1155">
        <v>14</v>
      </c>
    </row>
    <row customHeight="1" ht="14.699999999999998">
      <c r="O56" s="537"/>
      <c r="AQ56" s="1155">
        <v>14</v>
      </c>
    </row>
    <row customHeight="1" ht="14.699999999999998">
      <c r="O57" s="537"/>
      <c r="S57" s="1253"/>
      <c r="T57" s="2285"/>
      <c r="U57" s="2285"/>
      <c r="V57" s="2285"/>
      <c r="W57" s="2285"/>
      <c r="X57" s="2285"/>
      <c r="Y57" s="2285"/>
      <c r="Z57" s="2285"/>
      <c r="AA57" s="2285"/>
      <c r="AB57" s="2285"/>
      <c r="AC57" s="2285"/>
      <c r="AD57" s="2285"/>
      <c r="AE57" s="2285"/>
      <c r="AF57" s="2285"/>
      <c r="AG57" s="2285"/>
      <c r="AH57" s="2285"/>
      <c r="AI57" s="2285"/>
      <c r="AJ57" s="2285"/>
      <c r="AK57" s="2285"/>
      <c r="AQ57" s="1155">
        <v>14</v>
      </c>
    </row>
    <row customHeight="1" ht="22.5" hidden="1">
      <c r="A58" s="1160" t="s">
        <v>82</v>
      </c>
      <c r="B58" s="1160">
        <v>0</v>
      </c>
      <c r="C58" s="1160">
        <v>0</v>
      </c>
      <c r="D58" s="1160">
        <v>0</v>
      </c>
      <c r="E58" s="1160">
        <v>0</v>
      </c>
      <c r="F58" s="1160">
        <v>0</v>
      </c>
      <c r="G58" s="1160">
        <v>0</v>
      </c>
      <c r="H58" s="1160">
        <v>0</v>
      </c>
      <c r="I58" s="1160">
        <v>0</v>
      </c>
      <c r="J58" s="1160">
        <v>0</v>
      </c>
      <c r="K58" s="1160">
        <v>0</v>
      </c>
      <c r="L58" s="1478">
        <v>0</v>
      </c>
      <c r="M58" s="1362">
        <v>0</v>
      </c>
      <c r="N58" s="1362">
        <v>0</v>
      </c>
      <c r="O58" s="1362">
        <v>0</v>
      </c>
      <c r="P58" s="1473">
        <v>3</v>
      </c>
      <c r="Q58" s="344">
        <v>3</v>
      </c>
      <c r="R58" s="344">
        <v>3</v>
      </c>
      <c r="S58" s="581">
        <v>12</v>
      </c>
      <c r="T58" s="1155">
        <v>35</v>
      </c>
      <c r="U58" s="1155">
        <v>0</v>
      </c>
      <c r="V58" s="1155">
        <v>0</v>
      </c>
      <c r="W58" s="1155">
        <v>0</v>
      </c>
      <c r="X58" s="1155">
        <v>0</v>
      </c>
      <c r="Y58" s="1155">
        <v>0</v>
      </c>
      <c r="Z58" s="1155">
        <v>0</v>
      </c>
      <c r="AA58" s="1155">
        <v>0</v>
      </c>
      <c r="AB58" s="1155">
        <v>0</v>
      </c>
      <c r="AC58" s="1155">
        <v>24</v>
      </c>
      <c r="AD58" s="1155">
        <v>24</v>
      </c>
      <c r="AE58" s="1155">
        <v>24</v>
      </c>
      <c r="AF58" s="1155">
        <v>11</v>
      </c>
      <c r="AG58" s="1155">
        <v>3</v>
      </c>
      <c r="AH58" s="1155">
        <v>11</v>
      </c>
      <c r="AI58" s="1155">
        <v>0</v>
      </c>
      <c r="AJ58" s="1155">
        <v>4</v>
      </c>
      <c r="AK58" s="1155">
        <v>115</v>
      </c>
      <c r="AL58" s="511">
        <v>10</v>
      </c>
      <c r="AM58" s="511">
        <v>10</v>
      </c>
      <c r="AN58" s="511">
        <v>10</v>
      </c>
      <c r="AO58" s="511">
        <v>10</v>
      </c>
      <c r="AP58" s="511">
        <v>10</v>
      </c>
      <c r="AQ58" s="1155">
        <v>23</v>
      </c>
    </row>
  </sheetData>
  <sheetProtection formatColumns="0" formatRows="0" autoFilter="0" sort="0" insertRows="0" insertColumns="1" deleteRows="0" deleteColumns="0"/>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524330 AI196650 AI589866 AI655402 AI15 AI720938 AI786474 AI852010 AI917546 AI983082 AI65578 AI131114 AI458794 AI262186 AI7 AG46 AI327722 AG15 AG7 Z7 AB7 AI393258 AI46 Z46 AB46"/>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AH7 AF7 Y7 AA7 Y46 AA46"/>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5:AJ5 AC44:AJ44">
      <formula1>900</formula1>
    </dataValidation>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AE47 AE8 X8 X47"/>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542DDDE-0F9D-CCB8-FB11-BB406B50F034}" mc:Ignorable="x14ac xr xr2 xr3">
  <sheetPr>
    <tabColor theme="6" tint="0.4"/>
  </sheetPr>
  <dimension ref="A1:BI69"/>
  <sheetViews>
    <sheetView showGridLines="0" zoomScale="90" workbookViewId="0">
      <pane xSplit="29" ySplit="45" topLeftCell="AD46" activePane="bottomRight" state="frozen"/>
      <selection pane="bottomLeft" activeCell="A46" sqref="A46"/>
      <selection pane="topRight" activeCell="AD1" sqref="AD1"/>
      <selection pane="bottomRight" activeCell="A1" sqref="A1"/>
    </sheetView>
  </sheetViews>
  <sheetFormatPr defaultColWidth="10.57421875" customHeight="1" defaultRowHeight="14.25"/>
  <cols>
    <col min="1" max="1" style="1366" width="11.57421875" hidden="1" customWidth="1"/>
    <col min="2" max="2" style="1366" width="11.00390625" hidden="1" customWidth="1"/>
    <col min="3" max="3" style="1366" width="10.57421875" hidden="1"/>
    <col min="4" max="4" style="1366" width="12.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2.00390625" hidden="1" customWidth="1"/>
    <col min="10" max="10" style="1366" width="9.8515625" hidden="1" customWidth="1"/>
    <col min="11" max="11" style="1366" width="11.421875" hidden="1" customWidth="1"/>
    <col min="12" max="12" style="2607" width="19.140625" hidden="1" customWidth="1"/>
    <col min="13" max="14" style="1776" width="12.28125" hidden="1" customWidth="1"/>
    <col min="15" max="15" style="1776" width="23.421875" hidden="1" customWidth="1"/>
    <col min="16" max="16" style="1776" width="3.7109375" hidden="1" customWidth="1"/>
    <col min="17" max="17" style="1371" width="3.7109375" hidden="1" customWidth="1"/>
    <col min="18" max="18" style="344" width="3.00390625" customWidth="1"/>
    <col min="19" max="19" style="2407" width="12.00390625" customWidth="1"/>
    <col min="20" max="20" style="1635" width="31.00390625" customWidth="1"/>
    <col min="21" max="21" style="1635" width="0.140625" customWidth="1"/>
    <col min="22" max="25" style="1635" width="21.7109375" hidden="1" customWidth="1"/>
    <col min="26" max="26" style="1635" width="11.7109375" hidden="1" customWidth="1"/>
    <col min="27" max="27" style="1635" width="3.7109375" hidden="1" customWidth="1"/>
    <col min="28" max="28" style="1635" width="11.7109375" hidden="1" customWidth="1"/>
    <col min="29" max="29" style="1635" width="8.57421875" hidden="1" customWidth="1"/>
    <col min="30" max="30" style="1635" width="3.7109375" customWidth="1"/>
    <col min="31" max="32" style="1635" width="3.00390625" customWidth="1"/>
    <col min="33" max="33" style="1635" width="24.00390625" customWidth="1"/>
    <col min="34" max="34" style="1635" width="3.7109375" customWidth="1"/>
    <col min="35" max="36" style="1635" width="3.00390625" customWidth="1"/>
    <col min="37" max="37" style="1635" width="24.00390625" customWidth="1"/>
    <col min="38" max="38" style="1635" width="3.7109375" customWidth="1"/>
    <col min="39" max="40" style="1635" width="3.00390625" customWidth="1"/>
    <col min="41" max="41" style="1635" width="18.00390625" customWidth="1"/>
    <col min="42" max="42" style="1635" width="3.7109375" customWidth="1"/>
    <col min="43" max="44" style="1635" width="3.00390625" customWidth="1"/>
    <col min="45" max="45" style="1635" width="18.00390625" customWidth="1"/>
    <col min="46" max="49" style="1635" width="21.00390625" customWidth="1"/>
    <col min="50" max="50" style="1635" width="11.00390625" customWidth="1"/>
    <col min="51" max="51" style="1635" width="3.7109375" customWidth="1"/>
    <col min="52" max="52" style="1635" width="11.00390625" customWidth="1"/>
    <col min="53" max="53" style="1635" width="8.57421875" hidden="1" customWidth="1"/>
    <col min="54" max="54" style="1635" width="4.00390625" customWidth="1"/>
    <col min="55" max="55" style="1635" width="115.00390625" customWidth="1"/>
    <col min="56" max="60" style="1642" width="10.00390625" customWidth="1"/>
    <col min="61" max="61" style="1635" width="10.57421875" hidden="1"/>
  </cols>
  <sheetData>
    <row customHeight="1" ht="22.5" hidden="1">
      <c r="W1" s="327"/>
      <c r="Y1" s="327"/>
      <c r="Z1" s="327"/>
      <c r="AW1" s="327"/>
      <c r="AX1" s="327"/>
      <c r="BI1" s="1155" t="s">
        <v>14</v>
      </c>
    </row>
    <row customHeight="1" ht="21" hidden="1">
      <c r="A2" s="1363"/>
      <c r="B2" s="1363"/>
      <c r="C2" s="1363"/>
      <c r="D2" s="1363"/>
      <c r="E2" s="2258">
        <v>1</v>
      </c>
      <c r="F2" s="1363"/>
      <c r="G2" s="1363"/>
      <c r="H2" s="1363"/>
      <c r="I2" s="1363"/>
      <c r="J2" s="1363"/>
      <c r="K2" s="1363"/>
      <c r="L2" s="1364"/>
      <c r="M2" s="1365"/>
      <c r="N2" s="1365"/>
      <c r="O2" s="1365"/>
      <c r="P2" s="1409"/>
      <c r="Q2" s="873"/>
      <c r="R2" s="355"/>
      <c r="S2" s="1493">
        <f>INDEX(PT_DIFFERENTIATION_NUM_NTAR,MATCH(A2,PT_DIFFERENTIATION_NTAR_ID,0))</f>
      </c>
      <c r="T2" s="298" t="s">
        <v>127</v>
      </c>
      <c r="U2" s="300"/>
      <c r="V2" s="2243"/>
      <c r="W2" s="2243"/>
      <c r="X2" s="2243"/>
      <c r="Y2" s="2243"/>
      <c r="Z2" s="2243"/>
      <c r="AA2" s="2243"/>
      <c r="AB2" s="2243"/>
      <c r="AC2" s="2244"/>
      <c r="AD2" s="2242">
        <f>INDEX(PT_DIFFERENTIATION_NTAR,MATCH(A2,PT_DIFFERENTIATION_NTAR_ID,0))</f>
      </c>
      <c r="AE2" s="2243"/>
      <c r="AF2" s="2243"/>
      <c r="AG2" s="2243"/>
      <c r="AH2" s="2243"/>
      <c r="AI2" s="2243"/>
      <c r="AJ2" s="2243"/>
      <c r="AK2" s="2243"/>
      <c r="AL2" s="2243"/>
      <c r="AM2" s="2243"/>
      <c r="AN2" s="2243"/>
      <c r="AO2" s="2243"/>
      <c r="AP2" s="2243"/>
      <c r="AQ2" s="2243"/>
      <c r="AR2" s="2243"/>
      <c r="AS2" s="2243"/>
      <c r="AT2" s="2243"/>
      <c r="AU2" s="2243"/>
      <c r="AV2" s="2243"/>
      <c r="AW2" s="2243"/>
      <c r="AX2" s="2243"/>
      <c r="AY2" s="2243"/>
      <c r="AZ2" s="2243"/>
      <c r="BA2" s="2243"/>
      <c r="BB2" s="2244"/>
      <c r="BC2"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2" s="500"/>
      <c r="BF2" s="500" t="str">
        <f>IF(T2="","",T2)</f>
        <v>Наименование тарифа</v>
      </c>
      <c r="BG2" s="500"/>
      <c r="BH2" s="500"/>
      <c r="BI2" s="1155">
        <v>0</v>
      </c>
    </row>
    <row customHeight="1" ht="21" hidden="1">
      <c r="A3" s="1363"/>
      <c r="B3" s="1363"/>
      <c r="C3" s="1363"/>
      <c r="D3" s="1363"/>
      <c r="E3" s="2259"/>
      <c r="F3" s="2258">
        <v>1</v>
      </c>
      <c r="G3" s="1363"/>
      <c r="H3" s="1363"/>
      <c r="I3" s="1363"/>
      <c r="J3" s="1363"/>
      <c r="K3" s="1363"/>
      <c r="L3" s="1364"/>
      <c r="M3" s="1365"/>
      <c r="N3" s="1365"/>
      <c r="O3" s="1365"/>
      <c r="P3" s="1410"/>
      <c r="Q3" s="1411"/>
      <c r="R3" s="353"/>
      <c r="S3" s="1493">
        <f>INDEX(PT_DIFFERENTIATION_NUM_TER,MATCH(B3,PT_DIFFERENTIATION_TER_ID,0))</f>
      </c>
      <c r="T3" s="308" t="s">
        <v>399</v>
      </c>
      <c r="U3" s="300"/>
      <c r="V3" s="2243"/>
      <c r="W3" s="2243"/>
      <c r="X3" s="2243"/>
      <c r="Y3" s="2243"/>
      <c r="Z3" s="2243"/>
      <c r="AA3" s="2243"/>
      <c r="AB3" s="2243"/>
      <c r="AC3" s="2244"/>
      <c r="AD3" s="2242">
        <f>INDEX(PT_DIFFERENTIATION_TER,MATCH(B3,PT_DIFFERENTIATION_TER_ID,0))</f>
      </c>
      <c r="AE3" s="2243"/>
      <c r="AF3" s="2243"/>
      <c r="AG3" s="2243"/>
      <c r="AH3" s="2243"/>
      <c r="AI3" s="2243"/>
      <c r="AJ3" s="2243"/>
      <c r="AK3" s="2243"/>
      <c r="AL3" s="2243"/>
      <c r="AM3" s="2243"/>
      <c r="AN3" s="2243"/>
      <c r="AO3" s="2243"/>
      <c r="AP3" s="2243"/>
      <c r="AQ3" s="2243"/>
      <c r="AR3" s="2243"/>
      <c r="AS3" s="2243"/>
      <c r="AT3" s="2243"/>
      <c r="AU3" s="2243"/>
      <c r="AV3" s="2243"/>
      <c r="AW3" s="2243"/>
      <c r="AX3" s="2243"/>
      <c r="AY3" s="2243"/>
      <c r="AZ3" s="2243"/>
      <c r="BA3" s="2243"/>
      <c r="BB3" s="2244"/>
      <c r="BC3" s="1258" t="s">
        <v>400</v>
      </c>
      <c r="BE3" s="500"/>
      <c r="BF3" s="500" t="str">
        <f>IF(T3="","",T3)</f>
        <v>Территория действия тарифа</v>
      </c>
      <c r="BG3" s="500"/>
      <c r="BH3" s="500"/>
      <c r="BI3" s="1155">
        <v>0</v>
      </c>
    </row>
    <row customHeight="1" ht="33.75" hidden="1">
      <c r="A4" s="1363"/>
      <c r="B4" s="1363"/>
      <c r="C4" s="1363"/>
      <c r="D4" s="1363"/>
      <c r="E4" s="2259"/>
      <c r="F4" s="2259"/>
      <c r="G4" s="2258">
        <v>1</v>
      </c>
      <c r="H4" s="1363"/>
      <c r="I4" s="1363"/>
      <c r="J4" s="1363"/>
      <c r="K4" s="1363"/>
      <c r="L4" s="1364"/>
      <c r="M4" s="1365"/>
      <c r="N4" s="1365"/>
      <c r="O4" s="1365"/>
      <c r="P4" s="1412"/>
      <c r="Q4" s="1411"/>
      <c r="R4" s="353"/>
      <c r="S4" s="1493">
        <f>INDEX(PT_DIFFERENTIATION_NUM_CS,MATCH(C4,PT_DIFFERENTIATION_CS_ID,0))</f>
      </c>
      <c r="T4" s="309" t="s">
        <v>518</v>
      </c>
      <c r="U4" s="300"/>
      <c r="V4" s="2243"/>
      <c r="W4" s="2243"/>
      <c r="X4" s="2243"/>
      <c r="Y4" s="2243"/>
      <c r="Z4" s="2243"/>
      <c r="AA4" s="2243"/>
      <c r="AB4" s="2243"/>
      <c r="AC4" s="2244"/>
      <c r="AD4" s="2242">
        <f>INDEX(PT_DIFFERENTIATION_CS,MATCH(C4,PT_DIFFERENTIATION_CS_ID,0))</f>
      </c>
      <c r="AE4" s="2243"/>
      <c r="AF4" s="2243"/>
      <c r="AG4" s="2243"/>
      <c r="AH4" s="2243"/>
      <c r="AI4" s="2243"/>
      <c r="AJ4" s="2243"/>
      <c r="AK4" s="2243"/>
      <c r="AL4" s="2243"/>
      <c r="AM4" s="2243"/>
      <c r="AN4" s="2243"/>
      <c r="AO4" s="2243"/>
      <c r="AP4" s="2243"/>
      <c r="AQ4" s="2243"/>
      <c r="AR4" s="2243"/>
      <c r="AS4" s="2243"/>
      <c r="AT4" s="2243"/>
      <c r="AU4" s="2243"/>
      <c r="AV4" s="2243"/>
      <c r="AW4" s="2243"/>
      <c r="AX4" s="2243"/>
      <c r="AY4" s="2243"/>
      <c r="AZ4" s="2243"/>
      <c r="BA4" s="2243"/>
      <c r="BB4" s="2244"/>
      <c r="BC4" s="1258" t="s">
        <v>519</v>
      </c>
      <c r="BE4" s="500"/>
      <c r="BF4" s="500" t="str">
        <f>IF(T4="","",T4)</f>
        <v>Наименование централизованной системы водоотведения</v>
      </c>
      <c r="BG4" s="500"/>
      <c r="BH4" s="500"/>
      <c r="BI4" s="1155">
        <v>0</v>
      </c>
    </row>
    <row s="1642" customFormat="1" customHeight="1" ht="14.25" hidden="1">
      <c r="A5" s="1343"/>
      <c r="B5" s="1343"/>
      <c r="C5" s="1343"/>
      <c r="D5" s="1343"/>
      <c r="E5" s="2259"/>
      <c r="F5" s="2259"/>
      <c r="G5" s="2259"/>
      <c r="H5" s="2258">
        <v>1</v>
      </c>
      <c r="I5" s="1343"/>
      <c r="J5" s="1343"/>
      <c r="K5" s="1343"/>
      <c r="L5" s="1346"/>
      <c r="M5" s="1315"/>
      <c r="N5" s="1315"/>
      <c r="O5" s="1315"/>
      <c r="P5" s="1497"/>
      <c r="Q5" s="1498"/>
      <c r="R5" s="357"/>
      <c r="S5" s="1042"/>
      <c r="T5" s="1499"/>
      <c r="U5" s="1384"/>
      <c r="V5" s="2297"/>
      <c r="W5" s="2297"/>
      <c r="X5" s="2297"/>
      <c r="Y5" s="2297"/>
      <c r="Z5" s="2297"/>
      <c r="AA5" s="2297"/>
      <c r="AB5" s="2297"/>
      <c r="AC5" s="2298"/>
      <c r="AD5" s="2296"/>
      <c r="AE5" s="2297"/>
      <c r="AF5" s="2297"/>
      <c r="AG5" s="2297"/>
      <c r="AH5" s="2297"/>
      <c r="AI5" s="2297"/>
      <c r="AJ5" s="2297"/>
      <c r="AK5" s="2297"/>
      <c r="AL5" s="2297"/>
      <c r="AM5" s="2297"/>
      <c r="AN5" s="2297"/>
      <c r="AO5" s="2297"/>
      <c r="AP5" s="2297"/>
      <c r="AQ5" s="2297"/>
      <c r="AR5" s="2297"/>
      <c r="AS5" s="2297"/>
      <c r="AT5" s="2297"/>
      <c r="AU5" s="2297"/>
      <c r="AV5" s="2297"/>
      <c r="AW5" s="2297"/>
      <c r="AX5" s="2297"/>
      <c r="AY5" s="2297"/>
      <c r="AZ5" s="2297"/>
      <c r="BA5" s="2297"/>
      <c r="BB5" s="2298"/>
      <c r="BC5" s="1385" t="s">
        <v>404</v>
      </c>
      <c r="BE5" s="500"/>
      <c r="BF5" s="500" t="str">
        <f>IF(T5="","",T5)</f>
        <v/>
      </c>
      <c r="BG5" s="500"/>
      <c r="BH5" s="500"/>
      <c r="BI5" s="511">
        <v>0</v>
      </c>
    </row>
    <row s="1642" customFormat="1" customHeight="1" ht="14.25" hidden="1">
      <c r="A6" s="1343"/>
      <c r="B6" s="1343"/>
      <c r="C6" s="1343"/>
      <c r="D6" s="1343"/>
      <c r="E6" s="2259"/>
      <c r="F6" s="2259"/>
      <c r="G6" s="2259"/>
      <c r="H6" s="2259"/>
      <c r="I6" s="2256" t="str">
        <f>S5&amp;".1"</f>
        <v>.1</v>
      </c>
      <c r="J6" s="1343"/>
      <c r="K6" s="1343"/>
      <c r="L6" s="1346" t="s">
        <v>405</v>
      </c>
      <c r="M6" s="510"/>
      <c r="N6" s="510"/>
      <c r="O6" s="510"/>
      <c r="P6" s="2257">
        <v>1</v>
      </c>
      <c r="Q6" s="1481"/>
      <c r="R6" s="356"/>
      <c r="S6" s="1042"/>
      <c r="T6" s="1383"/>
      <c r="U6" s="1384"/>
      <c r="V6" s="2297"/>
      <c r="W6" s="2297"/>
      <c r="X6" s="2297"/>
      <c r="Y6" s="2297"/>
      <c r="Z6" s="2297"/>
      <c r="AA6" s="2297"/>
      <c r="AB6" s="2297"/>
      <c r="AC6" s="2298"/>
      <c r="AD6" s="2296"/>
      <c r="AE6" s="2297"/>
      <c r="AF6" s="2297"/>
      <c r="AG6" s="2297"/>
      <c r="AH6" s="2297"/>
      <c r="AI6" s="2297"/>
      <c r="AJ6" s="2297"/>
      <c r="AK6" s="2297"/>
      <c r="AL6" s="2297"/>
      <c r="AM6" s="2297"/>
      <c r="AN6" s="2297"/>
      <c r="AO6" s="2297"/>
      <c r="AP6" s="2297"/>
      <c r="AQ6" s="2297"/>
      <c r="AR6" s="2297"/>
      <c r="AS6" s="2297"/>
      <c r="AT6" s="2297"/>
      <c r="AU6" s="2297"/>
      <c r="AV6" s="2297"/>
      <c r="AW6" s="2297"/>
      <c r="AX6" s="2297"/>
      <c r="AY6" s="2297"/>
      <c r="AZ6" s="2297"/>
      <c r="BA6" s="2297"/>
      <c r="BB6" s="2298"/>
      <c r="BC6" s="1385"/>
      <c r="BE6" s="500"/>
      <c r="BF6" s="500" t="str">
        <f>IF(T6="","",T6)</f>
        <v/>
      </c>
      <c r="BG6" s="500"/>
      <c r="BH6" s="500"/>
      <c r="BI6" s="511">
        <v>0</v>
      </c>
    </row>
    <row s="1642" customFormat="1" customHeight="1" ht="14.25" hidden="1">
      <c r="A7" s="1343"/>
      <c r="B7" s="1343"/>
      <c r="C7" s="1343"/>
      <c r="D7" s="1343"/>
      <c r="E7" s="2259"/>
      <c r="F7" s="2259"/>
      <c r="G7" s="2259"/>
      <c r="H7" s="2259"/>
      <c r="I7" s="2286"/>
      <c r="J7" s="2256" t="str">
        <f>S5&amp;".1"</f>
        <v>.1</v>
      </c>
      <c r="K7" s="1343"/>
      <c r="L7" s="1346"/>
      <c r="M7" s="510"/>
      <c r="N7" s="510"/>
      <c r="O7" s="510"/>
      <c r="P7" s="2257"/>
      <c r="Q7" s="2257">
        <v>1</v>
      </c>
      <c r="R7" s="357"/>
      <c r="S7" s="1042"/>
      <c r="T7" s="1399"/>
      <c r="U7" s="1384"/>
      <c r="V7" s="2297"/>
      <c r="W7" s="2297"/>
      <c r="X7" s="2297"/>
      <c r="Y7" s="2297"/>
      <c r="Z7" s="2297"/>
      <c r="AA7" s="2297"/>
      <c r="AB7" s="2297"/>
      <c r="AC7" s="2298"/>
      <c r="AD7" s="2296"/>
      <c r="AE7" s="2297"/>
      <c r="AF7" s="2297"/>
      <c r="AG7" s="2297"/>
      <c r="AH7" s="2297"/>
      <c r="AI7" s="2297"/>
      <c r="AJ7" s="2297"/>
      <c r="AK7" s="2297"/>
      <c r="AL7" s="2297"/>
      <c r="AM7" s="2297"/>
      <c r="AN7" s="2297"/>
      <c r="AO7" s="2297"/>
      <c r="AP7" s="2297"/>
      <c r="AQ7" s="2297"/>
      <c r="AR7" s="2297"/>
      <c r="AS7" s="2297"/>
      <c r="AT7" s="2297"/>
      <c r="AU7" s="2297"/>
      <c r="AV7" s="2297"/>
      <c r="AW7" s="2297"/>
      <c r="AX7" s="2297"/>
      <c r="AY7" s="2297"/>
      <c r="AZ7" s="2297"/>
      <c r="BA7" s="2297"/>
      <c r="BB7" s="2298"/>
      <c r="BC7" s="1385"/>
      <c r="BE7" s="500"/>
      <c r="BF7" s="500" t="str">
        <f>IF(T7="","",T7)</f>
        <v/>
      </c>
      <c r="BG7" s="500"/>
      <c r="BH7" s="500"/>
      <c r="BI7" s="511">
        <v>0</v>
      </c>
    </row>
    <row customHeight="1" ht="11.25" hidden="1">
      <c r="A8" s="1363"/>
      <c r="B8" s="1363"/>
      <c r="C8" s="1363"/>
      <c r="D8" s="1363"/>
      <c r="E8" s="2259"/>
      <c r="F8" s="2259"/>
      <c r="G8" s="2259"/>
      <c r="H8" s="2259"/>
      <c r="I8" s="2286"/>
      <c r="J8" s="2286"/>
      <c r="K8" s="2256">
        <f>S4&amp;".1"</f>
      </c>
      <c r="L8" s="1364"/>
      <c r="P8" s="2257"/>
      <c r="Q8" s="2257"/>
      <c r="R8" s="2347">
        <v>1</v>
      </c>
      <c r="S8" s="2341">
        <f>$K8</f>
      </c>
      <c r="T8" s="2360"/>
      <c r="U8" s="300"/>
      <c r="V8" s="751"/>
      <c r="W8" s="1257"/>
      <c r="X8" s="751"/>
      <c r="Y8" s="1257"/>
      <c r="Z8" s="1734"/>
      <c r="AA8" s="1469" t="s">
        <v>66</v>
      </c>
      <c r="AB8" s="1734"/>
      <c r="AC8" s="1469" t="s">
        <v>66</v>
      </c>
      <c r="AD8" s="2185" t="s">
        <v>66</v>
      </c>
      <c r="AE8" s="2326"/>
      <c r="AF8" s="2205">
        <v>1</v>
      </c>
      <c r="AG8" s="2363"/>
      <c r="AH8" s="2107" t="s">
        <v>66</v>
      </c>
      <c r="AI8" s="2326"/>
      <c r="AJ8" s="2205">
        <v>1</v>
      </c>
      <c r="AK8" s="2327" t="s">
        <v>22</v>
      </c>
      <c r="AL8" s="2107" t="s">
        <v>66</v>
      </c>
      <c r="AM8" s="2192"/>
      <c r="AN8" s="2205">
        <v>1</v>
      </c>
      <c r="AO8" s="2357"/>
      <c r="AP8" s="2358" t="s">
        <v>66</v>
      </c>
      <c r="AQ8" s="311"/>
      <c r="AR8" s="1486">
        <v>1</v>
      </c>
      <c r="AS8" s="1492" t="s">
        <v>22</v>
      </c>
      <c r="AT8" s="751"/>
      <c r="AU8" s="1257"/>
      <c r="AV8" s="751"/>
      <c r="AW8" s="1257"/>
      <c r="AX8" s="1734"/>
      <c r="AY8" s="1469" t="s">
        <v>66</v>
      </c>
      <c r="AZ8" s="1734"/>
      <c r="BA8" s="1469" t="s">
        <v>66</v>
      </c>
      <c r="BB8" s="1348"/>
      <c r="BC8" s="2253" t="s">
        <v>503</v>
      </c>
      <c r="BE8" s="500"/>
      <c r="BF8" s="500" t="str">
        <f>IF(T8="","",T8)</f>
        <v/>
      </c>
      <c r="BG8" s="500"/>
      <c r="BH8" s="500"/>
      <c r="BI8" s="1155">
        <v>0</v>
      </c>
    </row>
    <row customHeight="1" ht="11.25" hidden="1">
      <c r="A9" s="1363"/>
      <c r="B9" s="1363"/>
      <c r="C9" s="1363"/>
      <c r="D9" s="1363"/>
      <c r="E9" s="2259"/>
      <c r="F9" s="2259"/>
      <c r="G9" s="2259"/>
      <c r="H9" s="2259"/>
      <c r="I9" s="2286"/>
      <c r="J9" s="2286"/>
      <c r="K9" s="2256"/>
      <c r="L9" s="1364"/>
      <c r="P9" s="2257"/>
      <c r="Q9" s="2257"/>
      <c r="R9" s="2347"/>
      <c r="S9" s="2342"/>
      <c r="T9" s="2361"/>
      <c r="U9" s="300"/>
      <c r="V9" s="1393"/>
      <c r="W9" s="1496"/>
      <c r="X9" s="1393"/>
      <c r="Y9" s="1496"/>
      <c r="Z9" s="1393"/>
      <c r="AA9" s="1393"/>
      <c r="AB9" s="1393"/>
      <c r="AC9" s="1393"/>
      <c r="AD9" s="2186"/>
      <c r="AE9" s="2326"/>
      <c r="AF9" s="2205"/>
      <c r="AG9" s="2363"/>
      <c r="AH9" s="2107"/>
      <c r="AI9" s="2326"/>
      <c r="AJ9" s="2205"/>
      <c r="AK9" s="2327"/>
      <c r="AL9" s="2107"/>
      <c r="AM9" s="2200"/>
      <c r="AN9" s="2205"/>
      <c r="AO9" s="2357"/>
      <c r="AP9" s="2359"/>
      <c r="AQ9" s="316"/>
      <c r="AR9" s="416"/>
      <c r="AS9" s="416" t="s">
        <v>504</v>
      </c>
      <c r="AT9" s="1393"/>
      <c r="AU9" s="1496"/>
      <c r="AV9" s="1393"/>
      <c r="AW9" s="1496"/>
      <c r="AX9" s="1393"/>
      <c r="AY9" s="1393"/>
      <c r="AZ9" s="1393"/>
      <c r="BA9" s="1393"/>
      <c r="BB9" s="1397"/>
      <c r="BC9" s="2254"/>
      <c r="BE9" s="500"/>
      <c r="BF9" s="500"/>
      <c r="BG9" s="500"/>
      <c r="BH9" s="500"/>
      <c r="BI9" s="1155">
        <v>0</v>
      </c>
    </row>
    <row customHeight="1" ht="11.25" hidden="1">
      <c r="A10" s="1363"/>
      <c r="B10" s="1363"/>
      <c r="C10" s="1363"/>
      <c r="D10" s="1363"/>
      <c r="E10" s="2259"/>
      <c r="F10" s="2259"/>
      <c r="G10" s="2259"/>
      <c r="H10" s="2259"/>
      <c r="I10" s="2286"/>
      <c r="J10" s="2286"/>
      <c r="K10" s="2256"/>
      <c r="L10" s="1364"/>
      <c r="P10" s="2257"/>
      <c r="Q10" s="2257"/>
      <c r="R10" s="2347"/>
      <c r="S10" s="2342"/>
      <c r="T10" s="2361"/>
      <c r="U10" s="300"/>
      <c r="V10" s="1393"/>
      <c r="W10" s="1496"/>
      <c r="X10" s="1393"/>
      <c r="Y10" s="1496"/>
      <c r="Z10" s="1393"/>
      <c r="AA10" s="1393"/>
      <c r="AB10" s="1393"/>
      <c r="AC10" s="1393"/>
      <c r="AD10" s="2186"/>
      <c r="AE10" s="2326"/>
      <c r="AF10" s="2205"/>
      <c r="AG10" s="2363"/>
      <c r="AH10" s="2107"/>
      <c r="AI10" s="2326"/>
      <c r="AJ10" s="2205"/>
      <c r="AK10" s="2327"/>
      <c r="AL10" s="2107"/>
      <c r="AM10" s="316"/>
      <c r="AN10" s="1500"/>
      <c r="AO10" s="1500" t="s">
        <v>524</v>
      </c>
      <c r="AP10" s="416"/>
      <c r="AQ10" s="416"/>
      <c r="AR10" s="416"/>
      <c r="AS10" s="1393"/>
      <c r="AT10" s="1393"/>
      <c r="AU10" s="1496"/>
      <c r="AV10" s="1393"/>
      <c r="AW10" s="1496"/>
      <c r="AX10" s="1393"/>
      <c r="AY10" s="1393"/>
      <c r="AZ10" s="1393"/>
      <c r="BA10" s="1393"/>
      <c r="BB10" s="1397"/>
      <c r="BC10" s="2254"/>
      <c r="BE10" s="500"/>
      <c r="BF10" s="500"/>
      <c r="BG10" s="500"/>
      <c r="BH10" s="500"/>
      <c r="BI10" s="1155">
        <v>0</v>
      </c>
    </row>
    <row customHeight="1" ht="11.25" hidden="1">
      <c r="A11" s="1363"/>
      <c r="B11" s="1363"/>
      <c r="C11" s="1363"/>
      <c r="D11" s="1363"/>
      <c r="E11" s="2259"/>
      <c r="F11" s="2259"/>
      <c r="G11" s="2259"/>
      <c r="H11" s="2259"/>
      <c r="I11" s="2286"/>
      <c r="J11" s="2286"/>
      <c r="K11" s="2256"/>
      <c r="L11" s="1364"/>
      <c r="P11" s="2257"/>
      <c r="Q11" s="2257"/>
      <c r="R11" s="2347"/>
      <c r="S11" s="2342"/>
      <c r="T11" s="2361"/>
      <c r="U11" s="300"/>
      <c r="V11" s="1393"/>
      <c r="W11" s="1496"/>
      <c r="X11" s="1393"/>
      <c r="Y11" s="1496"/>
      <c r="Z11" s="1393"/>
      <c r="AA11" s="1393"/>
      <c r="AB11" s="1393"/>
      <c r="AC11" s="1393"/>
      <c r="AD11" s="2186"/>
      <c r="AE11" s="2326"/>
      <c r="AF11" s="2205"/>
      <c r="AG11" s="2363"/>
      <c r="AH11" s="2107"/>
      <c r="AI11" s="294"/>
      <c r="AJ11" s="415"/>
      <c r="AK11" s="313" t="s">
        <v>525</v>
      </c>
      <c r="AL11" s="1393"/>
      <c r="AM11" s="1393"/>
      <c r="AN11" s="1393"/>
      <c r="AO11" s="1393"/>
      <c r="AP11" s="1393"/>
      <c r="AQ11" s="1393"/>
      <c r="AR11" s="1393"/>
      <c r="AS11" s="1393"/>
      <c r="AT11" s="1393"/>
      <c r="AU11" s="1496"/>
      <c r="AV11" s="1393"/>
      <c r="AW11" s="1496"/>
      <c r="AX11" s="1393"/>
      <c r="AY11" s="1393"/>
      <c r="AZ11" s="1393"/>
      <c r="BA11" s="1393"/>
      <c r="BB11" s="1397"/>
      <c r="BC11" s="2254"/>
      <c r="BE11" s="500"/>
      <c r="BF11" s="500"/>
      <c r="BG11" s="500"/>
      <c r="BH11" s="500"/>
      <c r="BI11" s="1155">
        <v>0</v>
      </c>
    </row>
    <row customHeight="1" ht="11.25" hidden="1">
      <c r="A12" s="1363"/>
      <c r="B12" s="1363"/>
      <c r="C12" s="1363"/>
      <c r="D12" s="1363"/>
      <c r="E12" s="2259"/>
      <c r="F12" s="2259"/>
      <c r="G12" s="2259"/>
      <c r="H12" s="2259"/>
      <c r="I12" s="2286"/>
      <c r="J12" s="2286"/>
      <c r="K12" s="2256"/>
      <c r="L12" s="1364"/>
      <c r="P12" s="2257"/>
      <c r="Q12" s="2257"/>
      <c r="R12" s="2347"/>
      <c r="S12" s="2343"/>
      <c r="T12" s="2362"/>
      <c r="U12" s="300"/>
      <c r="V12" s="1393"/>
      <c r="W12" s="1394" t="str">
        <f>Z8&amp;"-"&amp;AB8</f>
        <v>-</v>
      </c>
      <c r="X12" s="1393"/>
      <c r="Y12" s="1394" t="str">
        <f>AB8&amp;"-"&amp;AD8</f>
        <v>-да</v>
      </c>
      <c r="Z12" s="1393"/>
      <c r="AA12" s="1393"/>
      <c r="AB12" s="1393"/>
      <c r="AC12" s="1393"/>
      <c r="AD12" s="2112"/>
      <c r="AE12" s="312"/>
      <c r="AF12" s="314"/>
      <c r="AG12" s="416" t="s">
        <v>507</v>
      </c>
      <c r="AH12" s="1393"/>
      <c r="AI12" s="1393"/>
      <c r="AJ12" s="1393"/>
      <c r="AK12" s="1393"/>
      <c r="AL12" s="1393"/>
      <c r="AM12" s="1393"/>
      <c r="AN12" s="1393"/>
      <c r="AO12" s="1393"/>
      <c r="AP12" s="1393"/>
      <c r="AQ12" s="1393"/>
      <c r="AR12" s="1393"/>
      <c r="AS12" s="1393"/>
      <c r="AT12" s="1393"/>
      <c r="AU12" s="1394" t="str">
        <f>AX8&amp;"-"&amp;AZ8</f>
        <v>-</v>
      </c>
      <c r="AV12" s="1393"/>
      <c r="AW12" s="1394" t="str">
        <f>AZ8&amp;"-"&amp;BB8</f>
        <v>-</v>
      </c>
      <c r="AX12" s="1393"/>
      <c r="AY12" s="1393"/>
      <c r="AZ12" s="1393"/>
      <c r="BA12" s="1393"/>
      <c r="BB12" s="1396" t="str">
        <f>BE8&amp;"-"&amp;BG8</f>
        <v>-</v>
      </c>
      <c r="BC12" s="2254"/>
      <c r="BE12" s="500"/>
      <c r="BF12" s="500" t="str">
        <f>IF(T12="","",T12)</f>
        <v/>
      </c>
      <c r="BG12" s="500"/>
      <c r="BH12" s="500"/>
      <c r="BI12" s="1155">
        <v>0</v>
      </c>
    </row>
    <row customHeight="1" ht="11.25" hidden="1">
      <c r="A13" s="1363"/>
      <c r="B13" s="1363"/>
      <c r="C13" s="1363"/>
      <c r="D13" s="1363"/>
      <c r="E13" s="2259"/>
      <c r="F13" s="2259"/>
      <c r="G13" s="2259"/>
      <c r="H13" s="2259"/>
      <c r="I13" s="2286"/>
      <c r="J13" s="2256"/>
      <c r="K13" s="1363"/>
      <c r="L13" s="1364"/>
      <c r="P13" s="2257"/>
      <c r="Q13" s="2257"/>
      <c r="R13" s="356"/>
      <c r="S13" s="1278"/>
      <c r="T13" s="287" t="s">
        <v>470</v>
      </c>
      <c r="U13" s="367"/>
      <c r="V13" s="367"/>
      <c r="W13" s="367"/>
      <c r="X13" s="367"/>
      <c r="Y13" s="367"/>
      <c r="Z13" s="367"/>
      <c r="AA13" s="367"/>
      <c r="AB13" s="367"/>
      <c r="AC13" s="367"/>
      <c r="AD13" s="1505"/>
      <c r="AE13" s="367"/>
      <c r="AF13" s="367"/>
      <c r="AG13" s="367"/>
      <c r="AH13" s="367"/>
      <c r="AI13" s="367"/>
      <c r="AJ13" s="367"/>
      <c r="AK13" s="367"/>
      <c r="AL13" s="367"/>
      <c r="AM13" s="367"/>
      <c r="AN13" s="367"/>
      <c r="AO13" s="367"/>
      <c r="AP13" s="367"/>
      <c r="AQ13" s="367"/>
      <c r="AR13" s="367"/>
      <c r="AS13" s="367"/>
      <c r="AT13" s="367"/>
      <c r="AU13" s="367"/>
      <c r="AV13" s="367"/>
      <c r="AW13" s="367"/>
      <c r="AX13" s="367"/>
      <c r="AY13" s="367"/>
      <c r="AZ13" s="367"/>
      <c r="BA13" s="367"/>
      <c r="BB13" s="324"/>
      <c r="BC13" s="2255"/>
      <c r="BE13" s="500"/>
      <c r="BF13" s="500" t="str">
        <f>IF(T13="","",T13)</f>
        <v>Добавить строку</v>
      </c>
      <c r="BG13" s="500"/>
      <c r="BH13" s="500"/>
      <c r="BI13" s="1155">
        <v>0</v>
      </c>
    </row>
    <row s="1642" customFormat="1" customHeight="1" ht="14.25" hidden="1">
      <c r="A14" s="1343"/>
      <c r="B14" s="1343"/>
      <c r="C14" s="1343"/>
      <c r="D14" s="1343"/>
      <c r="E14" s="2259"/>
      <c r="F14" s="2259"/>
      <c r="G14" s="2259"/>
      <c r="H14" s="2259"/>
      <c r="I14" s="2256"/>
      <c r="J14" s="1343"/>
      <c r="K14" s="1343"/>
      <c r="L14" s="1346"/>
      <c r="M14" s="510"/>
      <c r="N14" s="510"/>
      <c r="O14" s="510"/>
      <c r="P14" s="2257"/>
      <c r="Q14" s="1481"/>
      <c r="R14" s="356"/>
      <c r="S14" s="1386"/>
      <c r="T14" s="1387"/>
      <c r="U14" s="1388"/>
      <c r="V14" s="1388"/>
      <c r="W14" s="1388"/>
      <c r="X14" s="1388"/>
      <c r="Y14" s="1388"/>
      <c r="Z14" s="1388"/>
      <c r="AA14" s="1388"/>
      <c r="AB14" s="1388"/>
      <c r="AC14" s="1388"/>
      <c r="AD14" s="1388"/>
      <c r="AE14" s="1388"/>
      <c r="AF14" s="1388"/>
      <c r="AG14" s="1388"/>
      <c r="AH14" s="1388"/>
      <c r="AI14" s="1388"/>
      <c r="AJ14" s="1388"/>
      <c r="AK14" s="1388"/>
      <c r="AL14" s="1388"/>
      <c r="AM14" s="1388"/>
      <c r="AN14" s="1388"/>
      <c r="AO14" s="1388"/>
      <c r="AP14" s="1388"/>
      <c r="AQ14" s="1388"/>
      <c r="AR14" s="1388"/>
      <c r="AS14" s="1388"/>
      <c r="AT14" s="1388"/>
      <c r="AU14" s="1388"/>
      <c r="AV14" s="1388"/>
      <c r="AW14" s="1388"/>
      <c r="AX14" s="1388"/>
      <c r="AY14" s="1388"/>
      <c r="AZ14" s="1388"/>
      <c r="BA14" s="1388"/>
      <c r="BB14" s="1388"/>
      <c r="BC14" s="1389"/>
      <c r="BE14" s="500"/>
      <c r="BF14" s="500" t="str">
        <f>IF(T14="","",T14)</f>
        <v/>
      </c>
      <c r="BG14" s="500"/>
      <c r="BH14" s="500"/>
      <c r="BI14" s="511">
        <v>0</v>
      </c>
    </row>
    <row s="1642" customFormat="1" customHeight="1" ht="14.25" hidden="1">
      <c r="A15" s="1343"/>
      <c r="B15" s="1343"/>
      <c r="C15" s="1343"/>
      <c r="D15" s="1343"/>
      <c r="E15" s="2259"/>
      <c r="F15" s="2259"/>
      <c r="G15" s="2259"/>
      <c r="H15" s="2258"/>
      <c r="I15" s="1343"/>
      <c r="J15" s="1343"/>
      <c r="K15" s="1343"/>
      <c r="L15" s="1346"/>
      <c r="M15" s="1315"/>
      <c r="N15" s="1315"/>
      <c r="O15" s="518"/>
      <c r="P15" s="380"/>
      <c r="Q15" s="1344"/>
      <c r="R15" s="1401"/>
      <c r="S15" s="1386"/>
      <c r="T15" s="1387"/>
      <c r="U15" s="1388"/>
      <c r="V15" s="1388"/>
      <c r="W15" s="1388"/>
      <c r="X15" s="1388"/>
      <c r="Y15" s="1388"/>
      <c r="Z15" s="1388"/>
      <c r="AA15" s="1388"/>
      <c r="AB15" s="1388"/>
      <c r="AC15" s="1388"/>
      <c r="AD15" s="1388"/>
      <c r="AE15" s="1388"/>
      <c r="AF15" s="1388"/>
      <c r="AG15" s="1388"/>
      <c r="AH15" s="1388"/>
      <c r="AI15" s="1388"/>
      <c r="AJ15" s="1388"/>
      <c r="AK15" s="1388"/>
      <c r="AL15" s="1388"/>
      <c r="AM15" s="1388"/>
      <c r="AN15" s="1388"/>
      <c r="AO15" s="1388"/>
      <c r="AP15" s="1388"/>
      <c r="AQ15" s="1388"/>
      <c r="AR15" s="1388"/>
      <c r="AS15" s="1388"/>
      <c r="AT15" s="1388"/>
      <c r="AU15" s="1388"/>
      <c r="AV15" s="1388"/>
      <c r="AW15" s="1388"/>
      <c r="AX15" s="1388"/>
      <c r="AY15" s="1388"/>
      <c r="AZ15" s="1388"/>
      <c r="BA15" s="1388"/>
      <c r="BB15" s="1388"/>
      <c r="BC15" s="1389"/>
      <c r="BE15" s="500"/>
      <c r="BF15" s="500" t="str">
        <f>IF(T15="","",T15)</f>
        <v/>
      </c>
      <c r="BG15" s="500"/>
      <c r="BH15" s="500"/>
      <c r="BI15" s="511">
        <v>0</v>
      </c>
    </row>
    <row s="1642" customFormat="1" customHeight="1" ht="14.25" hidden="1">
      <c r="A16" s="1343"/>
      <c r="B16" s="1343"/>
      <c r="C16" s="1343"/>
      <c r="D16" s="1314"/>
      <c r="E16" s="2259"/>
      <c r="F16" s="2259"/>
      <c r="G16" s="2258"/>
      <c r="H16" s="1314"/>
      <c r="I16" s="1314"/>
      <c r="J16" s="1314"/>
      <c r="K16" s="1314"/>
      <c r="L16" s="1494"/>
      <c r="M16" s="1315"/>
      <c r="N16" s="1315"/>
      <c r="P16" s="1316"/>
      <c r="Q16" s="1317"/>
      <c r="R16" s="1316"/>
      <c r="S16" s="1322"/>
      <c r="T16" s="1325"/>
      <c r="U16" s="1324"/>
      <c r="V16" s="1324"/>
      <c r="W16" s="1324"/>
      <c r="X16" s="1324"/>
      <c r="Y16" s="1324"/>
      <c r="Z16" s="1324"/>
      <c r="AA16" s="1324"/>
      <c r="AB16" s="1324"/>
      <c r="AC16" s="1324"/>
      <c r="AD16" s="1324"/>
      <c r="AE16" s="1324"/>
      <c r="AF16" s="1324"/>
      <c r="AG16" s="1324"/>
      <c r="AH16" s="1324"/>
      <c r="AI16" s="1324"/>
      <c r="AJ16" s="1324"/>
      <c r="AK16" s="1324"/>
      <c r="AL16" s="1324"/>
      <c r="AM16" s="1324"/>
      <c r="AN16" s="1324"/>
      <c r="AO16" s="1324"/>
      <c r="AP16" s="1324"/>
      <c r="AQ16" s="1324"/>
      <c r="AR16" s="1324"/>
      <c r="AS16" s="1324"/>
      <c r="AT16" s="1324"/>
      <c r="AU16" s="1324"/>
      <c r="AV16" s="1324"/>
      <c r="AW16" s="1324"/>
      <c r="AX16" s="1324"/>
      <c r="AY16" s="1324"/>
      <c r="AZ16" s="1324"/>
      <c r="BA16" s="1324"/>
      <c r="BB16" s="1324"/>
      <c r="BC16" s="1324"/>
      <c r="BE16" s="789"/>
      <c r="BF16" s="789" t="str">
        <f>IF(T16="","",T16)</f>
        <v/>
      </c>
      <c r="BG16" s="789"/>
      <c r="BH16" s="789"/>
      <c r="BI16" s="518">
        <v>0</v>
      </c>
    </row>
    <row s="1642" customFormat="1" customHeight="1" ht="14.25" hidden="1">
      <c r="A17" s="1343"/>
      <c r="B17" s="1343"/>
      <c r="C17" s="1314"/>
      <c r="D17" s="1314"/>
      <c r="E17" s="2259"/>
      <c r="F17" s="2258"/>
      <c r="G17" s="1314"/>
      <c r="H17" s="1314"/>
      <c r="I17" s="1314"/>
      <c r="J17" s="1314"/>
      <c r="K17" s="1314"/>
      <c r="L17" s="1494"/>
      <c r="M17" s="1321"/>
      <c r="N17" s="1321"/>
      <c r="P17" s="1316"/>
      <c r="Q17" s="1317"/>
      <c r="R17" s="1316"/>
      <c r="S17" s="1322"/>
      <c r="T17" s="1325" t="s">
        <v>417</v>
      </c>
      <c r="U17" s="1324"/>
      <c r="V17" s="1324"/>
      <c r="W17" s="1324"/>
      <c r="X17" s="1324"/>
      <c r="Y17" s="1324"/>
      <c r="Z17" s="1324"/>
      <c r="AA17" s="1324"/>
      <c r="AB17" s="1324"/>
      <c r="AC17" s="1324"/>
      <c r="AD17" s="1324"/>
      <c r="AE17" s="1324"/>
      <c r="AF17" s="1324"/>
      <c r="AG17" s="1324"/>
      <c r="AH17" s="1324"/>
      <c r="AI17" s="1324"/>
      <c r="AJ17" s="1324"/>
      <c r="AK17" s="1324"/>
      <c r="AL17" s="1324"/>
      <c r="AM17" s="1324"/>
      <c r="AN17" s="1324"/>
      <c r="AO17" s="1324"/>
      <c r="AP17" s="1324"/>
      <c r="AQ17" s="1324"/>
      <c r="AR17" s="1324"/>
      <c r="AS17" s="1324"/>
      <c r="AT17" s="1324"/>
      <c r="AU17" s="1324"/>
      <c r="AV17" s="1324"/>
      <c r="AW17" s="1324"/>
      <c r="AX17" s="1324"/>
      <c r="AY17" s="1324"/>
      <c r="AZ17" s="1324"/>
      <c r="BA17" s="1324"/>
      <c r="BB17" s="1324"/>
      <c r="BC17" s="1324"/>
      <c r="BE17" s="789"/>
      <c r="BF17" s="789" t="str">
        <f>IF(T17="","",T17)</f>
        <v>Добавить централизованную систему для дифференциации</v>
      </c>
      <c r="BG17" s="789"/>
      <c r="BH17" s="789"/>
      <c r="BI17" s="518">
        <v>0</v>
      </c>
    </row>
    <row s="1642" customFormat="1" customHeight="1" ht="14.25" hidden="1">
      <c r="A18" s="1343"/>
      <c r="B18" s="1343"/>
      <c r="C18" s="1343"/>
      <c r="D18" s="1343"/>
      <c r="E18" s="2258"/>
      <c r="F18" s="1343"/>
      <c r="G18" s="1343"/>
      <c r="H18" s="1343"/>
      <c r="I18" s="1343"/>
      <c r="J18" s="1343"/>
      <c r="K18" s="1343"/>
      <c r="L18" s="1346"/>
      <c r="M18" s="1321"/>
      <c r="N18" s="1321"/>
      <c r="O18" s="518"/>
      <c r="P18" s="380"/>
      <c r="Q18" s="1344"/>
      <c r="R18" s="380"/>
      <c r="S18" s="1322"/>
      <c r="T18" s="1325" t="s">
        <v>418</v>
      </c>
      <c r="U18" s="1324"/>
      <c r="V18" s="1324"/>
      <c r="W18" s="1324"/>
      <c r="X18" s="1324"/>
      <c r="Y18" s="1324"/>
      <c r="Z18" s="1324"/>
      <c r="AA18" s="1324"/>
      <c r="AB18" s="1324"/>
      <c r="AC18" s="1324"/>
      <c r="AD18" s="1324"/>
      <c r="AE18" s="1324"/>
      <c r="AF18" s="1324"/>
      <c r="AG18" s="1324"/>
      <c r="AH18" s="1324"/>
      <c r="AI18" s="1324"/>
      <c r="AJ18" s="1324"/>
      <c r="AK18" s="1324"/>
      <c r="AL18" s="1324"/>
      <c r="AM18" s="1324"/>
      <c r="AN18" s="1324"/>
      <c r="AO18" s="1324"/>
      <c r="AP18" s="1324"/>
      <c r="AQ18" s="1324"/>
      <c r="AR18" s="1324"/>
      <c r="AS18" s="1324"/>
      <c r="AT18" s="1324"/>
      <c r="AU18" s="1324"/>
      <c r="AV18" s="1324"/>
      <c r="AW18" s="1324"/>
      <c r="AX18" s="1324"/>
      <c r="AY18" s="1324"/>
      <c r="AZ18" s="1324"/>
      <c r="BA18" s="1324"/>
      <c r="BB18" s="1324"/>
      <c r="BC18" s="1324"/>
      <c r="BE18" s="500"/>
      <c r="BF18" s="500" t="str">
        <f>IF(T18="","",T18)</f>
        <v>Добавить территорию для дифференциации</v>
      </c>
      <c r="BG18" s="500"/>
      <c r="BH18" s="500"/>
      <c r="BI18" s="511">
        <v>0</v>
      </c>
    </row>
    <row customHeight="1" ht="14.25" hidden="1">
      <c r="AC19" s="327"/>
      <c r="BA19" s="327"/>
      <c r="BI19" s="1155">
        <v>0</v>
      </c>
    </row>
    <row customHeight="1" ht="14.25" hidden="1">
      <c r="AD20" s="1324" t="s">
        <v>19</v>
      </c>
      <c r="AE20" s="1501"/>
      <c r="AF20" s="548">
        <v>1</v>
      </c>
      <c r="AG20" s="1502"/>
      <c r="AH20" s="1324" t="s">
        <v>19</v>
      </c>
      <c r="AI20" s="1501"/>
      <c r="AJ20" s="548">
        <v>1</v>
      </c>
      <c r="AK20" s="1502"/>
      <c r="AL20" s="1324" t="s">
        <v>19</v>
      </c>
      <c r="AM20" s="1503"/>
      <c r="AN20" s="548">
        <v>1</v>
      </c>
      <c r="AO20" s="1504"/>
      <c r="AP20" s="1324" t="s">
        <v>19</v>
      </c>
      <c r="AQ20" s="1503"/>
      <c r="AR20" s="548">
        <v>1</v>
      </c>
      <c r="AS20" s="1504"/>
      <c r="AT20" s="325"/>
      <c r="AU20" s="384"/>
      <c r="AV20" s="325"/>
      <c r="AW20" s="384"/>
      <c r="AX20" s="1736"/>
      <c r="AY20" s="1485" t="s">
        <v>66</v>
      </c>
      <c r="AZ20" s="1736"/>
      <c r="BA20" s="1485" t="s">
        <v>66</v>
      </c>
      <c r="BI20" s="1155">
        <v>0</v>
      </c>
    </row>
    <row customHeight="1" ht="14.25" hidden="1">
      <c r="BD21" s="496"/>
      <c r="BE21" s="496"/>
      <c r="BF21" s="496"/>
      <c r="BG21" s="496"/>
      <c r="BH21" s="496"/>
      <c r="BI21" s="1155">
        <v>0</v>
      </c>
    </row>
    <row customHeight="1" ht="14.25" hidden="1">
      <c r="O22" s="1367" t="s">
        <v>419</v>
      </c>
      <c r="Z22" s="1345"/>
      <c r="AB22" s="1345"/>
      <c r="AC22" s="327"/>
      <c r="AX22" s="1345"/>
      <c r="AZ22" s="1345"/>
      <c r="BA22" s="327"/>
      <c r="BD22" s="496"/>
      <c r="BE22" s="496"/>
      <c r="BF22" s="496"/>
      <c r="BG22" s="496"/>
      <c r="BH22" s="496"/>
      <c r="BI22" s="1155">
        <v>0</v>
      </c>
    </row>
    <row customHeight="1" ht="14.25" hidden="1">
      <c r="AC23" s="327"/>
      <c r="BA23" s="327"/>
      <c r="BD23" s="496"/>
      <c r="BE23" s="496"/>
      <c r="BF23" s="496"/>
      <c r="BG23" s="496"/>
      <c r="BH23" s="496"/>
      <c r="BI23" s="1155">
        <v>0</v>
      </c>
    </row>
    <row s="1509" customFormat="1" customHeight="1" ht="14.25" hidden="1">
      <c r="M24" s="1508"/>
      <c r="N24" s="1508"/>
      <c r="O24" s="1509" t="s">
        <v>420</v>
      </c>
      <c r="P24" s="1508"/>
      <c r="Q24" s="1510"/>
      <c r="R24" s="1510"/>
      <c r="AA24" s="1507" t="s">
        <v>422</v>
      </c>
      <c r="AC24" s="1507" t="s">
        <v>423</v>
      </c>
      <c r="AD24" s="1507" t="s">
        <v>471</v>
      </c>
      <c r="AH24" s="1507" t="s">
        <v>471</v>
      </c>
      <c r="AK24" s="1507" t="s">
        <v>508</v>
      </c>
      <c r="AL24" s="1507" t="s">
        <v>471</v>
      </c>
      <c r="AP24" s="1507" t="s">
        <v>471</v>
      </c>
      <c r="AY24" s="1507" t="s">
        <v>422</v>
      </c>
      <c r="BA24" s="1507" t="s">
        <v>423</v>
      </c>
      <c r="BD24" s="1511"/>
      <c r="BE24" s="1511"/>
      <c r="BF24" s="1511"/>
      <c r="BG24" s="1511"/>
      <c r="BH24" s="1511"/>
      <c r="BI24" s="1507">
        <v>0</v>
      </c>
    </row>
    <row customHeight="1" ht="14.25" hidden="1">
      <c r="O25" s="1364"/>
      <c r="BD25" s="496"/>
      <c r="BE25" s="496"/>
      <c r="BF25" s="496"/>
      <c r="BG25" s="496"/>
      <c r="BH25" s="496"/>
      <c r="BI25" s="1155">
        <v>0</v>
      </c>
    </row>
    <row customHeight="1" ht="14.25" hidden="1">
      <c r="O26" s="1364"/>
      <c r="BD26" s="496"/>
      <c r="BE26" s="496"/>
      <c r="BF26" s="496"/>
      <c r="BG26" s="496"/>
      <c r="BH26" s="496"/>
      <c r="BI26" s="1155">
        <v>0</v>
      </c>
    </row>
    <row customHeight="1" ht="14.699999999999998">
      <c r="Q27" s="291"/>
      <c r="R27" s="376"/>
      <c r="S27" s="1275"/>
      <c r="T27" s="363"/>
      <c r="U27" s="363"/>
      <c r="V27" s="509"/>
      <c r="W27" s="509"/>
      <c r="X27" s="509"/>
      <c r="Y27" s="509"/>
      <c r="Z27" s="509"/>
      <c r="AA27" s="509"/>
      <c r="AB27" s="509"/>
      <c r="AC27" s="509"/>
      <c r="AD27" s="509"/>
      <c r="AE27" s="509"/>
      <c r="AF27" s="509"/>
      <c r="AG27" s="509"/>
      <c r="AH27" s="509"/>
      <c r="AI27" s="509"/>
      <c r="AJ27" s="509"/>
      <c r="AK27" s="509"/>
      <c r="AL27" s="509"/>
      <c r="AM27" s="509"/>
      <c r="AN27" s="509"/>
      <c r="AO27" s="509"/>
      <c r="AP27" s="509"/>
      <c r="AQ27" s="509"/>
      <c r="AR27" s="509"/>
      <c r="AS27" s="509"/>
      <c r="AT27" s="509"/>
      <c r="AU27" s="509"/>
      <c r="AV27" s="509"/>
      <c r="AW27" s="509"/>
      <c r="AX27" s="509"/>
      <c r="AY27" s="509"/>
      <c r="AZ27" s="509"/>
      <c r="BA27" s="509"/>
      <c r="BI27" s="1155">
        <v>14</v>
      </c>
    </row>
    <row customHeight="1" ht="14.699999999999998">
      <c r="Q28" s="291"/>
      <c r="R28" s="376"/>
      <c r="S28" s="2248" t="str">
        <f>IF(TEMPLATE_GROUP="P",PT_P_FORM_VOTV_5_NAME_FORM,PT_R_FORM_VOTV_17_NAME_FORM)</f>
        <v>Форма 14. Информация о предложении организации водоотведения расчетной величины тарифов на подключение к централизованной системе водоотведения</v>
      </c>
      <c r="T28" s="2248"/>
      <c r="U28" s="2248"/>
      <c r="V28" s="2248"/>
      <c r="W28" s="2248"/>
      <c r="X28" s="2248"/>
      <c r="Y28" s="2248"/>
      <c r="Z28" s="2248"/>
      <c r="AA28" s="2248"/>
      <c r="AB28" s="2248"/>
      <c r="AC28" s="2248"/>
      <c r="AD28" s="2248"/>
      <c r="AE28" s="2248"/>
      <c r="AF28" s="2248"/>
      <c r="AG28" s="2248"/>
      <c r="AH28" s="2248"/>
      <c r="AI28" s="2248"/>
      <c r="AJ28" s="2248"/>
      <c r="AK28" s="2248"/>
      <c r="AL28" s="2248"/>
      <c r="AM28" s="2248"/>
      <c r="AN28" s="2248"/>
      <c r="AO28" s="2248"/>
      <c r="AP28" s="2248"/>
      <c r="AQ28" s="2248"/>
      <c r="AR28" s="2248"/>
      <c r="AS28" s="2248"/>
      <c r="AT28" s="2248"/>
      <c r="AU28" s="2248"/>
      <c r="AV28" s="2248"/>
      <c r="AW28" s="2248"/>
      <c r="AX28" s="2248"/>
      <c r="AY28" s="2248"/>
      <c r="AZ28" s="2248"/>
      <c r="BA28" s="1243"/>
      <c r="BI28" s="1155">
        <v>14</v>
      </c>
    </row>
    <row customHeight="1" ht="14.699999999999998">
      <c r="Q29" s="291"/>
      <c r="R29" s="376"/>
      <c r="S29" s="2249" t="str">
        <f>IF(org=0,"Не определено",org)</f>
        <v>ПАО "ОГК-2"</v>
      </c>
      <c r="T29" s="2249"/>
      <c r="U29" s="2249"/>
      <c r="V29" s="2249"/>
      <c r="W29" s="2249"/>
      <c r="X29" s="2249"/>
      <c r="Y29" s="2249"/>
      <c r="Z29" s="2249"/>
      <c r="AA29" s="2249"/>
      <c r="AB29" s="2249"/>
      <c r="AC29" s="2249"/>
      <c r="AD29" s="2249"/>
      <c r="AE29" s="2249"/>
      <c r="AF29" s="2249"/>
      <c r="AG29" s="2249"/>
      <c r="AH29" s="2249"/>
      <c r="AI29" s="2249"/>
      <c r="AJ29" s="2249"/>
      <c r="AK29" s="2249"/>
      <c r="AL29" s="2249"/>
      <c r="AM29" s="2249"/>
      <c r="AN29" s="2249"/>
      <c r="AO29" s="2249"/>
      <c r="AP29" s="2249"/>
      <c r="AQ29" s="2249"/>
      <c r="AR29" s="2249"/>
      <c r="AS29" s="2249"/>
      <c r="AT29" s="2249"/>
      <c r="AU29" s="2249"/>
      <c r="AV29" s="2249"/>
      <c r="AW29" s="2249"/>
      <c r="AX29" s="2249"/>
      <c r="AY29" s="2249"/>
      <c r="AZ29" s="2249"/>
      <c r="BA29" s="1243"/>
      <c r="BI29" s="1155">
        <v>14</v>
      </c>
    </row>
    <row customHeight="1" ht="14.25" hidden="1">
      <c r="Q30" s="291"/>
      <c r="R30" s="376"/>
      <c r="S30" s="1275"/>
      <c r="T30" s="363"/>
      <c r="U30" s="363"/>
      <c r="V30" s="322"/>
      <c r="W30" s="322"/>
      <c r="X30" s="322"/>
      <c r="Y30" s="322"/>
      <c r="Z30" s="322"/>
      <c r="AA30" s="322"/>
      <c r="AB30" s="322"/>
      <c r="AC30" s="322"/>
      <c r="AD30" s="322"/>
      <c r="AE30" s="322"/>
      <c r="AF30" s="322"/>
      <c r="AG30" s="322"/>
      <c r="AH30" s="322"/>
      <c r="AI30" s="322"/>
      <c r="AJ30" s="322"/>
      <c r="AK30" s="322"/>
      <c r="AL30" s="322"/>
      <c r="AM30" s="322"/>
      <c r="AN30" s="322"/>
      <c r="AO30" s="322"/>
      <c r="AP30" s="322"/>
      <c r="AQ30" s="322"/>
      <c r="AR30" s="322"/>
      <c r="AS30" s="322"/>
      <c r="AT30" s="322"/>
      <c r="AU30" s="322"/>
      <c r="AV30" s="322"/>
      <c r="AW30" s="322"/>
      <c r="AX30" s="322"/>
      <c r="AY30" s="322"/>
      <c r="AZ30" s="322"/>
      <c r="BA30" s="322"/>
      <c r="BB30" s="509"/>
      <c r="BI30" s="1155">
        <v>0</v>
      </c>
    </row>
    <row s="1853" customFormat="1" customHeight="1" ht="25.5" hidden="1">
      <c r="A31" s="1368"/>
      <c r="B31" s="1368"/>
      <c r="C31" s="1368"/>
      <c r="D31" s="1368"/>
      <c r="E31" s="1368"/>
      <c r="F31" s="1368"/>
      <c r="G31" s="1368"/>
      <c r="H31" s="1368"/>
      <c r="I31" s="1368"/>
      <c r="J31" s="1368"/>
      <c r="K31" s="1368"/>
      <c r="L31" s="1369"/>
      <c r="M31" s="1368"/>
      <c r="N31" s="1368"/>
      <c r="O31" s="1368"/>
      <c r="P31" s="1368"/>
      <c r="Q31" s="1368"/>
      <c r="S31" s="2250" t="s">
        <v>42</v>
      </c>
      <c r="T31" s="2250"/>
      <c r="U31" s="1372"/>
      <c r="V31" s="2251" t="str">
        <f>IF(TITLE_NAME_OR_PR_CHANGE="",IF(TITLE_NAME_OR_PR="","",TITLE_NAME_OR_PR),TITLE_NAME_OR_PR_CHANGE)</f>
        <v/>
      </c>
      <c r="W31" s="2251"/>
      <c r="X31" s="2251"/>
      <c r="Y31" s="2251"/>
      <c r="Z31" s="2251"/>
      <c r="AA31" s="2251"/>
      <c r="AB31" s="2251"/>
      <c r="AC31" s="326"/>
      <c r="AD31" s="2251" t="str">
        <f>IF(TITLE_NAME_OR_PR_CHANGE="",IF(TITLE_NAME_OR_PR="","",TITLE_NAME_OR_PR),TITLE_NAME_OR_PR_CHANGE)</f>
        <v/>
      </c>
      <c r="AE31" s="2251"/>
      <c r="AF31" s="2251"/>
      <c r="AG31" s="2251"/>
      <c r="AH31" s="2251"/>
      <c r="AI31" s="2251"/>
      <c r="AJ31" s="2251"/>
      <c r="AK31" s="2251"/>
      <c r="AL31" s="2251"/>
      <c r="AM31" s="2251"/>
      <c r="AN31" s="2251"/>
      <c r="AO31" s="2251"/>
      <c r="AP31" s="2251"/>
      <c r="AQ31" s="2251"/>
      <c r="AR31" s="2251"/>
      <c r="AS31" s="2251"/>
      <c r="AT31" s="2251"/>
      <c r="AU31" s="2251"/>
      <c r="AV31" s="2251"/>
      <c r="AW31" s="2251"/>
      <c r="AX31" s="2251"/>
      <c r="AY31" s="2251"/>
      <c r="AZ31" s="2251"/>
      <c r="BA31" s="326"/>
      <c r="BB31" s="326"/>
      <c r="BC31" s="280"/>
      <c r="BD31" s="368"/>
      <c r="BE31" s="368"/>
      <c r="BF31" s="368"/>
      <c r="BG31" s="368"/>
      <c r="BH31" s="368"/>
      <c r="BI31" s="418">
        <v>0</v>
      </c>
    </row>
    <row s="1853" customFormat="1" customHeight="1" ht="18.75" hidden="1">
      <c r="A32" s="1368"/>
      <c r="B32" s="1368"/>
      <c r="C32" s="1368"/>
      <c r="D32" s="1368"/>
      <c r="E32" s="1368"/>
      <c r="F32" s="1368"/>
      <c r="G32" s="1368"/>
      <c r="H32" s="1368"/>
      <c r="I32" s="1368"/>
      <c r="J32" s="1368"/>
      <c r="K32" s="1368"/>
      <c r="L32" s="1369"/>
      <c r="M32" s="1368"/>
      <c r="N32" s="1368"/>
      <c r="O32" s="1368"/>
      <c r="P32" s="1368"/>
      <c r="Q32" s="1368"/>
      <c r="S32" s="2250" t="s">
        <v>425</v>
      </c>
      <c r="T32" s="2250"/>
      <c r="U32" s="1372"/>
      <c r="V32" s="2264" t="str">
        <f>IF(TITLE_DATE_PR_CHANGE="",IF(TITLE_DATE_PR="","",TITLE_DATE_PR),TITLE_DATE_PR_CHANGE)</f>
        <v/>
      </c>
      <c r="W32" s="2264"/>
      <c r="X32" s="2264"/>
      <c r="Y32" s="2264"/>
      <c r="Z32" s="2264"/>
      <c r="AA32" s="2264"/>
      <c r="AB32" s="2264"/>
      <c r="AC32" s="326"/>
      <c r="AD32" s="2264" t="str">
        <f>IF(TITLE_DATE_PR_CHANGE="",IF(TITLE_DATE_PR="","",TITLE_DATE_PR),TITLE_DATE_PR_CHANGE)</f>
        <v/>
      </c>
      <c r="AE32" s="2264"/>
      <c r="AF32" s="2264"/>
      <c r="AG32" s="2264"/>
      <c r="AH32" s="2264"/>
      <c r="AI32" s="2264"/>
      <c r="AJ32" s="2264"/>
      <c r="AK32" s="2264"/>
      <c r="AL32" s="2264"/>
      <c r="AM32" s="2264"/>
      <c r="AN32" s="2264"/>
      <c r="AO32" s="2264"/>
      <c r="AP32" s="2264"/>
      <c r="AQ32" s="2264"/>
      <c r="AR32" s="2264"/>
      <c r="AS32" s="2264"/>
      <c r="AT32" s="2264"/>
      <c r="AU32" s="2264"/>
      <c r="AV32" s="2264"/>
      <c r="AW32" s="2264"/>
      <c r="AX32" s="2264"/>
      <c r="AY32" s="2264"/>
      <c r="AZ32" s="2264"/>
      <c r="BA32" s="326"/>
      <c r="BB32" s="326"/>
      <c r="BC32" s="280"/>
      <c r="BD32" s="368"/>
      <c r="BE32" s="368"/>
      <c r="BF32" s="368"/>
      <c r="BG32" s="368"/>
      <c r="BH32" s="368"/>
      <c r="BI32" s="418">
        <v>0</v>
      </c>
    </row>
    <row s="1853" customFormat="1" customHeight="1" ht="18.75" hidden="1">
      <c r="A33" s="1368"/>
      <c r="B33" s="1368"/>
      <c r="C33" s="1368"/>
      <c r="D33" s="1368"/>
      <c r="E33" s="1368"/>
      <c r="F33" s="1368"/>
      <c r="G33" s="1368"/>
      <c r="H33" s="1368"/>
      <c r="I33" s="1368"/>
      <c r="J33" s="1368"/>
      <c r="K33" s="1368"/>
      <c r="L33" s="1369"/>
      <c r="M33" s="1368"/>
      <c r="N33" s="1368"/>
      <c r="O33" s="1368"/>
      <c r="P33" s="1368"/>
      <c r="Q33" s="1368"/>
      <c r="S33" s="2250" t="s">
        <v>426</v>
      </c>
      <c r="T33" s="2250"/>
      <c r="U33" s="1372"/>
      <c r="V33" s="2251" t="str">
        <f>IF(TITLE_NUMBER_PR_CHANGE="",IF(TITLE_NUMBER_PR="","",TITLE_NUMBER_PR),TITLE_NUMBER_PR_CHANGE)</f>
        <v/>
      </c>
      <c r="W33" s="2251"/>
      <c r="X33" s="2251"/>
      <c r="Y33" s="2251"/>
      <c r="Z33" s="2251"/>
      <c r="AA33" s="2251"/>
      <c r="AB33" s="2251"/>
      <c r="AC33" s="326"/>
      <c r="AD33" s="2251" t="str">
        <f>IF(TITLE_NUMBER_PR_CHANGE="",IF(TITLE_NUMBER_PR="","",TITLE_NUMBER_PR),TITLE_NUMBER_PR_CHANGE)</f>
        <v/>
      </c>
      <c r="AE33" s="2251"/>
      <c r="AF33" s="2251"/>
      <c r="AG33" s="2251"/>
      <c r="AH33" s="2251"/>
      <c r="AI33" s="2251"/>
      <c r="AJ33" s="2251"/>
      <c r="AK33" s="2251"/>
      <c r="AL33" s="2251"/>
      <c r="AM33" s="2251"/>
      <c r="AN33" s="2251"/>
      <c r="AO33" s="2251"/>
      <c r="AP33" s="2251"/>
      <c r="AQ33" s="2251"/>
      <c r="AR33" s="2251"/>
      <c r="AS33" s="2251"/>
      <c r="AT33" s="2251"/>
      <c r="AU33" s="2251"/>
      <c r="AV33" s="2251"/>
      <c r="AW33" s="2251"/>
      <c r="AX33" s="2251"/>
      <c r="AY33" s="2251"/>
      <c r="AZ33" s="2251"/>
      <c r="BA33" s="326"/>
      <c r="BB33" s="326"/>
      <c r="BC33" s="280"/>
      <c r="BD33" s="368"/>
      <c r="BE33" s="368"/>
      <c r="BF33" s="368"/>
      <c r="BG33" s="368"/>
      <c r="BH33" s="368"/>
      <c r="BI33" s="418">
        <v>0</v>
      </c>
    </row>
    <row s="1853" customFormat="1" customHeight="1" ht="18.75" hidden="1">
      <c r="A34" s="1368"/>
      <c r="B34" s="1368"/>
      <c r="C34" s="1368"/>
      <c r="D34" s="1368"/>
      <c r="E34" s="1368"/>
      <c r="F34" s="1368"/>
      <c r="G34" s="1368"/>
      <c r="H34" s="1368"/>
      <c r="I34" s="1368"/>
      <c r="J34" s="1368"/>
      <c r="K34" s="1368"/>
      <c r="L34" s="1369"/>
      <c r="M34" s="1368"/>
      <c r="N34" s="1368"/>
      <c r="O34" s="1368"/>
      <c r="P34" s="1368"/>
      <c r="Q34" s="1368"/>
      <c r="S34" s="2250" t="s">
        <v>43</v>
      </c>
      <c r="T34" s="2250"/>
      <c r="U34" s="1372"/>
      <c r="V34" s="2251" t="str">
        <f>IF(TITLE_IST_PUB_CHANGE="",IF(TITLE_IST_PUB="","",TITLE_IST_PUB),TITLE_IST_PUB_CHANGE)</f>
        <v/>
      </c>
      <c r="W34" s="2251"/>
      <c r="X34" s="2251"/>
      <c r="Y34" s="2251"/>
      <c r="Z34" s="2251"/>
      <c r="AA34" s="2251"/>
      <c r="AB34" s="2251"/>
      <c r="AC34" s="326"/>
      <c r="AD34" s="2251" t="str">
        <f>IF(TITLE_IST_PUB_CHANGE="",IF(TITLE_IST_PUB="","",TITLE_IST_PUB),TITLE_IST_PUB_CHANGE)</f>
        <v/>
      </c>
      <c r="AE34" s="2251"/>
      <c r="AF34" s="2251"/>
      <c r="AG34" s="2251"/>
      <c r="AH34" s="2251"/>
      <c r="AI34" s="2251"/>
      <c r="AJ34" s="2251"/>
      <c r="AK34" s="2251"/>
      <c r="AL34" s="2251"/>
      <c r="AM34" s="2251"/>
      <c r="AN34" s="2251"/>
      <c r="AO34" s="2251"/>
      <c r="AP34" s="2251"/>
      <c r="AQ34" s="2251"/>
      <c r="AR34" s="2251"/>
      <c r="AS34" s="2251"/>
      <c r="AT34" s="2251"/>
      <c r="AU34" s="2251"/>
      <c r="AV34" s="2251"/>
      <c r="AW34" s="2251"/>
      <c r="AX34" s="2251"/>
      <c r="AY34" s="2251"/>
      <c r="AZ34" s="2251"/>
      <c r="BA34" s="326"/>
      <c r="BB34" s="326"/>
      <c r="BC34" s="280"/>
      <c r="BD34" s="368"/>
      <c r="BE34" s="368"/>
      <c r="BF34" s="368"/>
      <c r="BG34" s="368"/>
      <c r="BH34" s="368"/>
      <c r="BI34" s="418">
        <v>0</v>
      </c>
    </row>
    <row customHeight="1" ht="14.25" hidden="1">
      <c r="Q35" s="291"/>
      <c r="R35" s="376"/>
      <c r="S35" s="1275"/>
      <c r="T35" s="363"/>
      <c r="U35" s="363"/>
      <c r="V35" s="322"/>
      <c r="W35" s="322"/>
      <c r="X35" s="322"/>
      <c r="Y35" s="322"/>
      <c r="Z35" s="322"/>
      <c r="AA35" s="322"/>
      <c r="AB35" s="322"/>
      <c r="AC35" s="322"/>
      <c r="AD35" s="322"/>
      <c r="AE35" s="322"/>
      <c r="AF35" s="322"/>
      <c r="AG35" s="322"/>
      <c r="AH35" s="322"/>
      <c r="AI35" s="322"/>
      <c r="AJ35" s="322"/>
      <c r="AK35" s="322"/>
      <c r="AL35" s="322"/>
      <c r="AM35" s="322"/>
      <c r="AN35" s="322"/>
      <c r="AO35" s="322"/>
      <c r="AP35" s="322"/>
      <c r="AQ35" s="322"/>
      <c r="AR35" s="322"/>
      <c r="AS35" s="322"/>
      <c r="AT35" s="322"/>
      <c r="AU35" s="322"/>
      <c r="AV35" s="322"/>
      <c r="AW35" s="322"/>
      <c r="AX35" s="322"/>
      <c r="AY35" s="322"/>
      <c r="AZ35" s="322"/>
      <c r="BA35" s="322"/>
      <c r="BB35" s="509"/>
      <c r="BI35" s="1155">
        <v>0</v>
      </c>
    </row>
    <row s="1853" customFormat="1" customHeight="1" ht="18.75" hidden="1">
      <c r="A36" s="1368"/>
      <c r="B36" s="1368"/>
      <c r="C36" s="1368"/>
      <c r="D36" s="1368"/>
      <c r="E36" s="1368"/>
      <c r="F36" s="1368"/>
      <c r="G36" s="1368"/>
      <c r="H36" s="1368"/>
      <c r="I36" s="1368"/>
      <c r="J36" s="1368"/>
      <c r="K36" s="1368"/>
      <c r="L36" s="1369"/>
      <c r="M36" s="1368"/>
      <c r="N36" s="1368"/>
      <c r="O36" s="1368"/>
      <c r="P36" s="1368"/>
      <c r="Q36" s="1368"/>
      <c r="S36" s="2250" t="s">
        <v>425</v>
      </c>
      <c r="T36" s="2250"/>
      <c r="U36" s="1372"/>
      <c r="V36" s="2264" t="str">
        <f>IF(TITLE_DATE_PR_CHANGE="",IF(TITLE_DATE_PR="","",TITLE_DATE_PR),TITLE_DATE_PR_CHANGE)</f>
        <v/>
      </c>
      <c r="W36" s="2264"/>
      <c r="X36" s="2264"/>
      <c r="Y36" s="2264"/>
      <c r="Z36" s="2264"/>
      <c r="AA36" s="2264"/>
      <c r="AB36" s="2264"/>
      <c r="AC36" s="326"/>
      <c r="AD36" s="2264" t="str">
        <f>IF(TITLE_DATE_PR_CHANGE="",IF(TITLE_DATE_PR="","",TITLE_DATE_PR),TITLE_DATE_PR_CHANGE)</f>
        <v/>
      </c>
      <c r="AE36" s="2264"/>
      <c r="AF36" s="2264"/>
      <c r="AG36" s="2264"/>
      <c r="AH36" s="2264"/>
      <c r="AI36" s="2264"/>
      <c r="AJ36" s="2264"/>
      <c r="AK36" s="2264"/>
      <c r="AL36" s="2264"/>
      <c r="AM36" s="2264"/>
      <c r="AN36" s="2264"/>
      <c r="AO36" s="2264"/>
      <c r="AP36" s="2264"/>
      <c r="AQ36" s="2264"/>
      <c r="AR36" s="2264"/>
      <c r="AS36" s="2264"/>
      <c r="AT36" s="2264"/>
      <c r="AU36" s="2264"/>
      <c r="AV36" s="2264"/>
      <c r="AW36" s="2264"/>
      <c r="AX36" s="2264"/>
      <c r="AY36" s="2264"/>
      <c r="AZ36" s="2264"/>
      <c r="BA36" s="326"/>
      <c r="BB36" s="326"/>
      <c r="BC36" s="280"/>
      <c r="BD36" s="368"/>
      <c r="BE36" s="368"/>
      <c r="BF36" s="368"/>
      <c r="BG36" s="368"/>
      <c r="BH36" s="368"/>
      <c r="BI36" s="418">
        <v>0</v>
      </c>
    </row>
    <row s="1853" customFormat="1" customHeight="1" ht="18.75" hidden="1">
      <c r="A37" s="1368"/>
      <c r="B37" s="1368"/>
      <c r="C37" s="1368"/>
      <c r="D37" s="1368"/>
      <c r="E37" s="1368"/>
      <c r="F37" s="1368"/>
      <c r="G37" s="1368"/>
      <c r="H37" s="1368"/>
      <c r="I37" s="1368"/>
      <c r="J37" s="1368"/>
      <c r="K37" s="1368"/>
      <c r="L37" s="1369"/>
      <c r="M37" s="1368"/>
      <c r="N37" s="1368"/>
      <c r="O37" s="1368"/>
      <c r="P37" s="1368"/>
      <c r="Q37" s="1368"/>
      <c r="S37" s="2250" t="s">
        <v>426</v>
      </c>
      <c r="T37" s="2250"/>
      <c r="U37" s="1372"/>
      <c r="V37" s="2251" t="str">
        <f>IF(TITLE_NUMBER_PR_CHANGE="",IF(TITLE_NUMBER_PR="","",TITLE_NUMBER_PR),TITLE_NUMBER_PR_CHANGE)</f>
        <v/>
      </c>
      <c r="W37" s="2251"/>
      <c r="X37" s="2251"/>
      <c r="Y37" s="2251"/>
      <c r="Z37" s="2251"/>
      <c r="AA37" s="2251"/>
      <c r="AB37" s="2251"/>
      <c r="AC37" s="326"/>
      <c r="AD37" s="2251" t="str">
        <f>IF(TITLE_NUMBER_PR_CHANGE="",IF(TITLE_NUMBER_PR="","",TITLE_NUMBER_PR),TITLE_NUMBER_PR_CHANGE)</f>
        <v/>
      </c>
      <c r="AE37" s="2251"/>
      <c r="AF37" s="2251"/>
      <c r="AG37" s="2251"/>
      <c r="AH37" s="2251"/>
      <c r="AI37" s="2251"/>
      <c r="AJ37" s="2251"/>
      <c r="AK37" s="2251"/>
      <c r="AL37" s="2251"/>
      <c r="AM37" s="2251"/>
      <c r="AN37" s="2251"/>
      <c r="AO37" s="2251"/>
      <c r="AP37" s="2251"/>
      <c r="AQ37" s="2251"/>
      <c r="AR37" s="2251"/>
      <c r="AS37" s="2251"/>
      <c r="AT37" s="2251"/>
      <c r="AU37" s="2251"/>
      <c r="AV37" s="2251"/>
      <c r="AW37" s="2251"/>
      <c r="AX37" s="2251"/>
      <c r="AY37" s="2251"/>
      <c r="AZ37" s="2251"/>
      <c r="BA37" s="326"/>
      <c r="BB37" s="326"/>
      <c r="BC37" s="280"/>
      <c r="BD37" s="368"/>
      <c r="BE37" s="368"/>
      <c r="BF37" s="368"/>
      <c r="BG37" s="368"/>
      <c r="BH37" s="368"/>
      <c r="BI37" s="418">
        <v>0</v>
      </c>
    </row>
    <row s="1853" customFormat="1" customHeight="1" ht="0">
      <c r="A38" s="1368"/>
      <c r="B38" s="1368"/>
      <c r="C38" s="1368"/>
      <c r="D38" s="1368"/>
      <c r="E38" s="1368"/>
      <c r="F38" s="1368"/>
      <c r="G38" s="1368"/>
      <c r="H38" s="1368"/>
      <c r="I38" s="1368"/>
      <c r="J38" s="1368"/>
      <c r="K38" s="1368"/>
      <c r="L38" s="1369"/>
      <c r="M38" s="1368"/>
      <c r="N38" s="1368"/>
      <c r="O38" s="1368"/>
      <c r="P38" s="1368"/>
      <c r="Q38" s="1368"/>
      <c r="S38" s="323"/>
      <c r="T38" s="323"/>
      <c r="U38" s="1488"/>
      <c r="V38" s="326"/>
      <c r="W38" s="326"/>
      <c r="X38" s="326"/>
      <c r="Y38" s="326"/>
      <c r="Z38" s="326"/>
      <c r="AA38" s="326"/>
      <c r="AB38" s="326"/>
      <c r="AC38" s="278" t="s">
        <v>429</v>
      </c>
      <c r="AD38" s="326"/>
      <c r="AE38" s="326"/>
      <c r="AF38" s="326"/>
      <c r="AG38" s="326"/>
      <c r="AH38" s="326"/>
      <c r="AI38" s="326"/>
      <c r="AJ38" s="326"/>
      <c r="AK38" s="326"/>
      <c r="AL38" s="326"/>
      <c r="AM38" s="326"/>
      <c r="AN38" s="326"/>
      <c r="AO38" s="326"/>
      <c r="AP38" s="326"/>
      <c r="AQ38" s="326"/>
      <c r="AR38" s="326"/>
      <c r="AS38" s="326"/>
      <c r="AT38" s="326"/>
      <c r="AU38" s="326"/>
      <c r="AV38" s="326"/>
      <c r="AW38" s="326"/>
      <c r="AX38" s="326"/>
      <c r="AY38" s="326"/>
      <c r="AZ38" s="326"/>
      <c r="BA38" s="278" t="s">
        <v>429</v>
      </c>
      <c r="BD38" s="368"/>
      <c r="BE38" s="368"/>
      <c r="BF38" s="368"/>
      <c r="BG38" s="368"/>
      <c r="BH38" s="368"/>
      <c r="BI38" s="418">
        <v>0</v>
      </c>
    </row>
    <row customHeight="1" ht="14.699999999999998">
      <c r="Q39" s="291"/>
      <c r="R39" s="376"/>
      <c r="S39" s="1275"/>
      <c r="T39" s="363"/>
      <c r="U39" s="1244"/>
      <c r="V39" s="2252"/>
      <c r="W39" s="2252"/>
      <c r="X39" s="2252"/>
      <c r="Y39" s="2252"/>
      <c r="Z39" s="2252"/>
      <c r="AA39" s="2252"/>
      <c r="AB39" s="2252"/>
      <c r="AC39" s="2252"/>
      <c r="AD39" s="2252"/>
      <c r="AE39" s="2252"/>
      <c r="AF39" s="2252"/>
      <c r="AG39" s="2252"/>
      <c r="AH39" s="2252"/>
      <c r="AI39" s="2252"/>
      <c r="AJ39" s="2252"/>
      <c r="AK39" s="2252"/>
      <c r="AL39" s="2252"/>
      <c r="AM39" s="2252"/>
      <c r="AN39" s="2252"/>
      <c r="AO39" s="2252"/>
      <c r="AP39" s="2252"/>
      <c r="AQ39" s="2252"/>
      <c r="AR39" s="2252"/>
      <c r="AS39" s="2252"/>
      <c r="AT39" s="2252"/>
      <c r="AU39" s="2252"/>
      <c r="AV39" s="2252"/>
      <c r="AW39" s="2252"/>
      <c r="AX39" s="2252"/>
      <c r="AY39" s="2252"/>
      <c r="AZ39" s="2252"/>
      <c r="BA39" s="2252"/>
      <c r="BI39" s="1155">
        <v>14</v>
      </c>
    </row>
    <row customHeight="1" ht="14.699999999999998">
      <c r="Q40" s="291"/>
      <c r="R40" s="376"/>
      <c r="S40" s="2127" t="s">
        <v>302</v>
      </c>
      <c r="T40" s="2127"/>
      <c r="U40" s="2127"/>
      <c r="V40" s="2127"/>
      <c r="W40" s="2127"/>
      <c r="X40" s="2127"/>
      <c r="Y40" s="2127"/>
      <c r="Z40" s="2127"/>
      <c r="AA40" s="2127"/>
      <c r="AB40" s="2127"/>
      <c r="AC40" s="2127"/>
      <c r="AD40" s="2127"/>
      <c r="AE40" s="2127"/>
      <c r="AF40" s="2127"/>
      <c r="AG40" s="2127"/>
      <c r="AH40" s="2127"/>
      <c r="AI40" s="2127"/>
      <c r="AJ40" s="2127"/>
      <c r="AK40" s="2127"/>
      <c r="AL40" s="2127"/>
      <c r="AM40" s="2127"/>
      <c r="AN40" s="2127"/>
      <c r="AO40" s="2127"/>
      <c r="AP40" s="2127"/>
      <c r="AQ40" s="2127"/>
      <c r="AR40" s="2127"/>
      <c r="AS40" s="2127"/>
      <c r="AT40" s="2127"/>
      <c r="AU40" s="2127"/>
      <c r="AV40" s="2127"/>
      <c r="AW40" s="2127"/>
      <c r="AX40" s="2127"/>
      <c r="AY40" s="2127"/>
      <c r="AZ40" s="2127"/>
      <c r="BA40" s="2127"/>
      <c r="BB40" s="2127"/>
      <c r="BC40" s="2127" t="s">
        <v>303</v>
      </c>
      <c r="BI40" s="1155">
        <v>14</v>
      </c>
    </row>
    <row customHeight="1" ht="14.699999999999998">
      <c r="Q41" s="291"/>
      <c r="R41" s="376"/>
      <c r="S41" s="2273" t="s">
        <v>88</v>
      </c>
      <c r="T41" s="2209" t="s">
        <v>509</v>
      </c>
      <c r="U41" s="301"/>
      <c r="V41" s="2274" t="s">
        <v>431</v>
      </c>
      <c r="W41" s="2275"/>
      <c r="X41" s="2275"/>
      <c r="Y41" s="2275"/>
      <c r="Z41" s="2275"/>
      <c r="AA41" s="2275"/>
      <c r="AB41" s="2276"/>
      <c r="AC41" s="2277" t="s">
        <v>432</v>
      </c>
      <c r="AD41" s="2328" t="s">
        <v>526</v>
      </c>
      <c r="AE41" s="2291"/>
      <c r="AF41" s="2291"/>
      <c r="AG41" s="2329"/>
      <c r="AH41" s="2328" t="s">
        <v>527</v>
      </c>
      <c r="AI41" s="2291"/>
      <c r="AJ41" s="2291"/>
      <c r="AK41" s="2329"/>
      <c r="AL41" s="2328" t="s">
        <v>528</v>
      </c>
      <c r="AM41" s="2291"/>
      <c r="AN41" s="2291"/>
      <c r="AO41" s="2329"/>
      <c r="AP41" s="2328" t="s">
        <v>513</v>
      </c>
      <c r="AQ41" s="2291"/>
      <c r="AR41" s="2291"/>
      <c r="AS41" s="2329"/>
      <c r="AT41" s="2274" t="s">
        <v>431</v>
      </c>
      <c r="AU41" s="2275"/>
      <c r="AV41" s="2275"/>
      <c r="AW41" s="2275"/>
      <c r="AX41" s="2275"/>
      <c r="AY41" s="2275"/>
      <c r="AZ41" s="2276"/>
      <c r="BA41" s="2277" t="s">
        <v>432</v>
      </c>
      <c r="BB41" s="2280" t="s">
        <v>434</v>
      </c>
      <c r="BC41" s="2127"/>
      <c r="BI41" s="1155">
        <v>14</v>
      </c>
    </row>
    <row customHeight="1" ht="35.699999999999996">
      <c r="Q42" s="291"/>
      <c r="R42" s="376"/>
      <c r="S42" s="2273"/>
      <c r="T42" s="2209"/>
      <c r="U42" s="1031"/>
      <c r="V42" s="2192" t="s">
        <v>514</v>
      </c>
      <c r="W42" s="2193"/>
      <c r="X42" s="2192" t="s">
        <v>515</v>
      </c>
      <c r="Y42" s="2193"/>
      <c r="Z42" s="2294" t="s">
        <v>516</v>
      </c>
      <c r="AA42" s="2313"/>
      <c r="AB42" s="2314"/>
      <c r="AC42" s="2278"/>
      <c r="AD42" s="2330"/>
      <c r="AE42" s="2331"/>
      <c r="AF42" s="2331"/>
      <c r="AG42" s="2332"/>
      <c r="AH42" s="2330"/>
      <c r="AI42" s="2331"/>
      <c r="AJ42" s="2331"/>
      <c r="AK42" s="2332"/>
      <c r="AL42" s="2330"/>
      <c r="AM42" s="2331"/>
      <c r="AN42" s="2331"/>
      <c r="AO42" s="2332"/>
      <c r="AP42" s="2330"/>
      <c r="AQ42" s="2331"/>
      <c r="AR42" s="2331"/>
      <c r="AS42" s="2332"/>
      <c r="AT42" s="2192" t="s">
        <v>529</v>
      </c>
      <c r="AU42" s="2193"/>
      <c r="AV42" s="2192" t="s">
        <v>530</v>
      </c>
      <c r="AW42" s="2193"/>
      <c r="AX42" s="2294" t="s">
        <v>516</v>
      </c>
      <c r="AY42" s="2313"/>
      <c r="AZ42" s="2314"/>
      <c r="BA42" s="2278"/>
      <c r="BB42" s="2281"/>
      <c r="BC42" s="2127"/>
      <c r="BI42" s="1155">
        <v>34</v>
      </c>
    </row>
    <row customHeight="1" ht="14.699999999999998">
      <c r="Q43" s="291"/>
      <c r="R43" s="376"/>
      <c r="S43" s="2273"/>
      <c r="T43" s="2209"/>
      <c r="U43" s="1031"/>
      <c r="V43" s="2200"/>
      <c r="W43" s="2201"/>
      <c r="X43" s="2200"/>
      <c r="Y43" s="2201"/>
      <c r="Z43" s="2295"/>
      <c r="AA43" s="2315"/>
      <c r="AB43" s="2316"/>
      <c r="AC43" s="2278"/>
      <c r="AD43" s="2330"/>
      <c r="AE43" s="2331"/>
      <c r="AF43" s="2331"/>
      <c r="AG43" s="2332"/>
      <c r="AH43" s="2330"/>
      <c r="AI43" s="2331"/>
      <c r="AJ43" s="2331"/>
      <c r="AK43" s="2332"/>
      <c r="AL43" s="2330"/>
      <c r="AM43" s="2331"/>
      <c r="AN43" s="2331"/>
      <c r="AO43" s="2332"/>
      <c r="AP43" s="2330"/>
      <c r="AQ43" s="2331"/>
      <c r="AR43" s="2331"/>
      <c r="AS43" s="2332"/>
      <c r="AT43" s="2200"/>
      <c r="AU43" s="2201"/>
      <c r="AV43" s="2200"/>
      <c r="AW43" s="2201"/>
      <c r="AX43" s="2295"/>
      <c r="AY43" s="2315"/>
      <c r="AZ43" s="2316"/>
      <c r="BA43" s="2278"/>
      <c r="BB43" s="2281"/>
      <c r="BC43" s="2127"/>
      <c r="BI43" s="1155">
        <v>14</v>
      </c>
    </row>
    <row customHeight="1" ht="14.699999999999998">
      <c r="A44" s="1370"/>
      <c r="B44" s="1370" t="s">
        <v>139</v>
      </c>
      <c r="C44" s="1370" t="s">
        <v>140</v>
      </c>
      <c r="D44" s="1370" t="s">
        <v>141</v>
      </c>
      <c r="E44" s="1364" t="s">
        <v>439</v>
      </c>
      <c r="F44" s="1364" t="s">
        <v>440</v>
      </c>
      <c r="G44" s="1364" t="s">
        <v>441</v>
      </c>
      <c r="H44" s="1364" t="s">
        <v>442</v>
      </c>
      <c r="I44" s="1364" t="s">
        <v>443</v>
      </c>
      <c r="J44" s="1364" t="s">
        <v>444</v>
      </c>
      <c r="K44" s="1364" t="s">
        <v>445</v>
      </c>
      <c r="L44" s="1364" t="s">
        <v>420</v>
      </c>
      <c r="Q44" s="291"/>
      <c r="R44" s="376"/>
      <c r="S44" s="2273"/>
      <c r="T44" s="2209"/>
      <c r="U44" s="302"/>
      <c r="V44" s="1479" t="s">
        <v>480</v>
      </c>
      <c r="W44" s="1479" t="s">
        <v>481</v>
      </c>
      <c r="X44" s="1479" t="s">
        <v>480</v>
      </c>
      <c r="Y44" s="1479" t="s">
        <v>481</v>
      </c>
      <c r="Z44" s="1489" t="s">
        <v>448</v>
      </c>
      <c r="AA44" s="2270" t="s">
        <v>449</v>
      </c>
      <c r="AB44" s="2271"/>
      <c r="AC44" s="2279"/>
      <c r="AD44" s="2333"/>
      <c r="AE44" s="2334"/>
      <c r="AF44" s="2334"/>
      <c r="AG44" s="2335"/>
      <c r="AH44" s="2333"/>
      <c r="AI44" s="2334"/>
      <c r="AJ44" s="2334"/>
      <c r="AK44" s="2335"/>
      <c r="AL44" s="2333"/>
      <c r="AM44" s="2334"/>
      <c r="AN44" s="2334"/>
      <c r="AO44" s="2335"/>
      <c r="AP44" s="2333"/>
      <c r="AQ44" s="2334"/>
      <c r="AR44" s="2334"/>
      <c r="AS44" s="2335"/>
      <c r="AT44" s="1479" t="s">
        <v>480</v>
      </c>
      <c r="AU44" s="1479" t="s">
        <v>481</v>
      </c>
      <c r="AV44" s="1479" t="s">
        <v>480</v>
      </c>
      <c r="AW44" s="1479" t="s">
        <v>481</v>
      </c>
      <c r="AX44" s="1489" t="s">
        <v>448</v>
      </c>
      <c r="AY44" s="2270" t="s">
        <v>449</v>
      </c>
      <c r="AZ44" s="2271"/>
      <c r="BA44" s="2279"/>
      <c r="BB44" s="2282"/>
      <c r="BC44" s="2127"/>
      <c r="BI44" s="1155">
        <v>14</v>
      </c>
    </row>
    <row s="1641" customFormat="1" customHeight="1" ht="11.25" hidden="1">
      <c r="A45" s="1370"/>
      <c r="B45" s="1370"/>
      <c r="C45" s="1370"/>
      <c r="D45" s="1370"/>
      <c r="E45" s="1370"/>
      <c r="F45" s="1370"/>
      <c r="G45" s="1370"/>
      <c r="H45" s="1370"/>
      <c r="I45" s="1370"/>
      <c r="J45" s="1370"/>
      <c r="K45" s="1370"/>
      <c r="L45" s="1364"/>
      <c r="M45" s="1362"/>
      <c r="N45" s="1362"/>
      <c r="O45" s="1362"/>
      <c r="P45" s="510"/>
      <c r="Q45" s="1254"/>
      <c r="R45" s="1254">
        <v>1</v>
      </c>
      <c r="S45" s="1277" t="s">
        <v>109</v>
      </c>
      <c r="T45" s="1255" t="s">
        <v>110</v>
      </c>
      <c r="U45" s="1245" t="str">
        <f>OFFSET(U45,0,-1)</f>
        <v>2</v>
      </c>
      <c r="V45" s="1482">
        <f>OFFSET(V45,0,-1)+1</f>
        <v>3</v>
      </c>
      <c r="W45" s="1482">
        <f>OFFSET(W45,0,-1)+1</f>
        <v>4</v>
      </c>
      <c r="X45" s="1482">
        <f>OFFSET(X45,0,-1)+1</f>
        <v>5</v>
      </c>
      <c r="Y45" s="1482">
        <f>OFFSET(Y45,0,-1)+1</f>
        <v>6</v>
      </c>
      <c r="Z45" s="1482">
        <f>OFFSET(Z45,0,-1)+1</f>
        <v>7</v>
      </c>
      <c r="AA45" s="2272">
        <f>OFFSET(AA45,0,-1)+1</f>
        <v>8</v>
      </c>
      <c r="AB45" s="2272"/>
      <c r="AC45" s="1482">
        <f>OFFSET(AC45,0,-2)+1</f>
        <v>9</v>
      </c>
      <c r="AD45" s="1482">
        <f>OFFSET(AD45,0,-1)+1</f>
        <v>10</v>
      </c>
      <c r="AE45" s="1482"/>
      <c r="AF45" s="1482"/>
      <c r="AG45" s="1482"/>
      <c r="AH45" s="1482"/>
      <c r="AI45" s="1482"/>
      <c r="AJ45" s="1482"/>
      <c r="AK45" s="1482"/>
      <c r="AL45" s="1482"/>
      <c r="AM45" s="1482"/>
      <c r="AN45" s="1482"/>
      <c r="AO45" s="1482"/>
      <c r="AP45" s="1482"/>
      <c r="AQ45" s="1482"/>
      <c r="AR45" s="1482"/>
      <c r="AS45" s="1482"/>
      <c r="AT45" s="1482"/>
      <c r="AU45" s="1482"/>
      <c r="AV45" s="1482"/>
      <c r="AW45" s="1482">
        <f>OFFSET(AW45,0,-1)+1</f>
        <v>1</v>
      </c>
      <c r="AX45" s="1482">
        <f>OFFSET(AX45,0,-1)+1</f>
        <v>2</v>
      </c>
      <c r="AY45" s="2272">
        <f>OFFSET(AY45,0,-1)+1</f>
        <v>3</v>
      </c>
      <c r="AZ45" s="2272"/>
      <c r="BA45" s="1482">
        <f>OFFSET(BA45,0,-2)+1</f>
        <v>4</v>
      </c>
      <c r="BB45" s="1245">
        <f>OFFSET(BB45,0,-1)</f>
        <v>4</v>
      </c>
      <c r="BC45" s="1482">
        <f>OFFSET(BC45,0,-1)+1</f>
        <v>5</v>
      </c>
      <c r="BD45" s="511"/>
      <c r="BE45" s="511"/>
      <c r="BF45" s="511"/>
      <c r="BG45" s="511"/>
      <c r="BH45" s="511"/>
      <c r="BI45" s="496">
        <v>0</v>
      </c>
    </row>
    <row customHeight="1" ht="22.049999999999997">
      <c r="A46" s="1363" t="s">
        <v>278</v>
      </c>
      <c r="B46" s="1363"/>
      <c r="C46" s="1363"/>
      <c r="D46" s="1363"/>
      <c r="E46" s="2258">
        <v>1</v>
      </c>
      <c r="F46" s="1363"/>
      <c r="G46" s="1363"/>
      <c r="H46" s="1363"/>
      <c r="I46" s="1363"/>
      <c r="J46" s="1363"/>
      <c r="K46" s="1363"/>
      <c r="L46" s="1364"/>
      <c r="M46" s="1365"/>
      <c r="N46" s="1365"/>
      <c r="O46" s="1365"/>
      <c r="P46" s="1409"/>
      <c r="Q46" s="873"/>
      <c r="R46" s="355"/>
      <c r="S46" s="1493">
        <f>INDEX(PT_DIFFERENTIATION_NUM_NTAR,MATCH(A46,PT_DIFFERENTIATION_NTAR_ID,0))</f>
        <v>0</v>
      </c>
      <c r="T46" s="298" t="s">
        <v>127</v>
      </c>
      <c r="U46" s="300"/>
      <c r="V46" s="2243"/>
      <c r="W46" s="2243"/>
      <c r="X46" s="2243"/>
      <c r="Y46" s="2243"/>
      <c r="Z46" s="2243"/>
      <c r="AA46" s="2243"/>
      <c r="AB46" s="2243"/>
      <c r="AC46" s="2244"/>
      <c r="AD46" s="2242" t="str">
        <f>INDEX(PT_DIFFERENTIATION_NTAR,MATCH(A46,PT_DIFFERENTIATION_NTAR_ID,0))</f>
        <v/>
      </c>
      <c r="AE46" s="2243"/>
      <c r="AF46" s="2243"/>
      <c r="AG46" s="2243"/>
      <c r="AH46" s="2243"/>
      <c r="AI46" s="2243"/>
      <c r="AJ46" s="2243"/>
      <c r="AK46" s="2243"/>
      <c r="AL46" s="2243"/>
      <c r="AM46" s="2243"/>
      <c r="AN46" s="2243"/>
      <c r="AO46" s="2243"/>
      <c r="AP46" s="2243"/>
      <c r="AQ46" s="2243"/>
      <c r="AR46" s="2243"/>
      <c r="AS46" s="2243"/>
      <c r="AT46" s="2243"/>
      <c r="AU46" s="2243"/>
      <c r="AV46" s="2243"/>
      <c r="AW46" s="2243"/>
      <c r="AX46" s="2243"/>
      <c r="AY46" s="2243"/>
      <c r="AZ46" s="2243"/>
      <c r="BA46" s="2243"/>
      <c r="BB46" s="2244"/>
      <c r="BC46"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46" s="500"/>
      <c r="BF46" s="500" t="str">
        <f>IF(T46="","",T46)</f>
        <v>Наименование тарифа</v>
      </c>
      <c r="BG46" s="500"/>
      <c r="BH46" s="500"/>
      <c r="BI46" s="1155">
        <v>21</v>
      </c>
    </row>
    <row customHeight="1" ht="22.049999999999997">
      <c r="A47" s="1363" t="s">
        <v>278</v>
      </c>
      <c r="B47" s="1363" t="s">
        <v>279</v>
      </c>
      <c r="C47" s="1363"/>
      <c r="D47" s="1363"/>
      <c r="E47" s="2259"/>
      <c r="F47" s="2258">
        <v>1</v>
      </c>
      <c r="G47" s="1363"/>
      <c r="H47" s="1363"/>
      <c r="I47" s="1363"/>
      <c r="J47" s="1363"/>
      <c r="K47" s="1363"/>
      <c r="L47" s="1364"/>
      <c r="M47" s="1365"/>
      <c r="N47" s="1365"/>
      <c r="O47" s="1365"/>
      <c r="P47" s="1410"/>
      <c r="Q47" s="1411"/>
      <c r="R47" s="353"/>
      <c r="S47" s="1493" t="str">
        <f>INDEX(PT_DIFFERENTIATION_NUM_TER,MATCH(B47,PT_DIFFERENTIATION_TER_ID,0))</f>
        <v>.</v>
      </c>
      <c r="T47" s="308" t="s">
        <v>399</v>
      </c>
      <c r="U47" s="300"/>
      <c r="V47" s="2243"/>
      <c r="W47" s="2243"/>
      <c r="X47" s="2243"/>
      <c r="Y47" s="2243"/>
      <c r="Z47" s="2243"/>
      <c r="AA47" s="2243"/>
      <c r="AB47" s="2243"/>
      <c r="AC47" s="2244"/>
      <c r="AD47" s="2242" t="str">
        <f>INDEX(PT_DIFFERENTIATION_TER,MATCH(B47,PT_DIFFERENTIATION_TER_ID,0))</f>
        <v/>
      </c>
      <c r="AE47" s="2243"/>
      <c r="AF47" s="2243"/>
      <c r="AG47" s="2243"/>
      <c r="AH47" s="2243"/>
      <c r="AI47" s="2243"/>
      <c r="AJ47" s="2243"/>
      <c r="AK47" s="2243"/>
      <c r="AL47" s="2243"/>
      <c r="AM47" s="2243"/>
      <c r="AN47" s="2243"/>
      <c r="AO47" s="2243"/>
      <c r="AP47" s="2243"/>
      <c r="AQ47" s="2243"/>
      <c r="AR47" s="2243"/>
      <c r="AS47" s="2243"/>
      <c r="AT47" s="2243"/>
      <c r="AU47" s="2243"/>
      <c r="AV47" s="2243"/>
      <c r="AW47" s="2243"/>
      <c r="AX47" s="2243"/>
      <c r="AY47" s="2243"/>
      <c r="AZ47" s="2243"/>
      <c r="BA47" s="2243"/>
      <c r="BB47" s="2244"/>
      <c r="BC47" s="1258" t="s">
        <v>400</v>
      </c>
      <c r="BE47" s="500"/>
      <c r="BF47" s="500" t="str">
        <f>IF(T47="","",T47)</f>
        <v>Территория действия тарифа</v>
      </c>
      <c r="BG47" s="500"/>
      <c r="BH47" s="500"/>
      <c r="BI47" s="1155">
        <v>21</v>
      </c>
    </row>
    <row customHeight="1" ht="35.699999999999996">
      <c r="A48" s="1363" t="s">
        <v>278</v>
      </c>
      <c r="B48" s="1363" t="s">
        <v>279</v>
      </c>
      <c r="C48" s="1363" t="s">
        <v>280</v>
      </c>
      <c r="D48" s="1363"/>
      <c r="E48" s="2259"/>
      <c r="F48" s="2259"/>
      <c r="G48" s="2258">
        <v>1</v>
      </c>
      <c r="H48" s="1363"/>
      <c r="I48" s="1363"/>
      <c r="J48" s="1363"/>
      <c r="K48" s="1363"/>
      <c r="L48" s="1364"/>
      <c r="M48" s="1365"/>
      <c r="N48" s="1365"/>
      <c r="O48" s="1365"/>
      <c r="P48" s="1412"/>
      <c r="Q48" s="1411"/>
      <c r="R48" s="353"/>
      <c r="S48" s="1493" t="str">
        <f>INDEX(PT_DIFFERENTIATION_NUM_CS,MATCH(C48,PT_DIFFERENTIATION_CS_ID,0))</f>
        <v>..</v>
      </c>
      <c r="T48" s="309" t="s">
        <v>518</v>
      </c>
      <c r="U48" s="300"/>
      <c r="V48" s="2243"/>
      <c r="W48" s="2243"/>
      <c r="X48" s="2243"/>
      <c r="Y48" s="2243"/>
      <c r="Z48" s="2243"/>
      <c r="AA48" s="2243"/>
      <c r="AB48" s="2243"/>
      <c r="AC48" s="2244"/>
      <c r="AD48" s="2242" t="str">
        <f>INDEX(PT_DIFFERENTIATION_CS,MATCH(C48,PT_DIFFERENTIATION_CS_ID,0))</f>
        <v/>
      </c>
      <c r="AE48" s="2243"/>
      <c r="AF48" s="2243"/>
      <c r="AG48" s="2243"/>
      <c r="AH48" s="2243"/>
      <c r="AI48" s="2243"/>
      <c r="AJ48" s="2243"/>
      <c r="AK48" s="2243"/>
      <c r="AL48" s="2243"/>
      <c r="AM48" s="2243"/>
      <c r="AN48" s="2243"/>
      <c r="AO48" s="2243"/>
      <c r="AP48" s="2243"/>
      <c r="AQ48" s="2243"/>
      <c r="AR48" s="2243"/>
      <c r="AS48" s="2243"/>
      <c r="AT48" s="2243"/>
      <c r="AU48" s="2243"/>
      <c r="AV48" s="2243"/>
      <c r="AW48" s="2243"/>
      <c r="AX48" s="2243"/>
      <c r="AY48" s="2243"/>
      <c r="AZ48" s="2243"/>
      <c r="BA48" s="2243"/>
      <c r="BB48" s="2244"/>
      <c r="BC48" s="1258" t="s">
        <v>519</v>
      </c>
      <c r="BE48" s="500"/>
      <c r="BF48" s="500" t="str">
        <f>IF(T48="","",T48)</f>
        <v>Наименование централизованной системы водоотведения</v>
      </c>
      <c r="BG48" s="500"/>
      <c r="BH48" s="500"/>
      <c r="BI48" s="1155">
        <v>34</v>
      </c>
    </row>
    <row s="1642" customFormat="1" customHeight="1" ht="0">
      <c r="A49" s="1343" t="s">
        <v>278</v>
      </c>
      <c r="B49" s="1343" t="s">
        <v>279</v>
      </c>
      <c r="C49" s="1343" t="s">
        <v>280</v>
      </c>
      <c r="D49" s="1343" t="s">
        <v>531</v>
      </c>
      <c r="E49" s="2259"/>
      <c r="F49" s="2259"/>
      <c r="G49" s="2259"/>
      <c r="H49" s="2258">
        <v>1</v>
      </c>
      <c r="I49" s="1343"/>
      <c r="J49" s="1343"/>
      <c r="K49" s="1343"/>
      <c r="L49" s="1346"/>
      <c r="M49" s="1315"/>
      <c r="N49" s="1315"/>
      <c r="O49" s="1315"/>
      <c r="P49" s="1497"/>
      <c r="Q49" s="1498"/>
      <c r="R49" s="357"/>
      <c r="S49" s="1042"/>
      <c r="T49" s="1499"/>
      <c r="U49" s="1384"/>
      <c r="V49" s="2297"/>
      <c r="W49" s="2297"/>
      <c r="X49" s="2297"/>
      <c r="Y49" s="2297"/>
      <c r="Z49" s="2297"/>
      <c r="AA49" s="2297"/>
      <c r="AB49" s="2297"/>
      <c r="AC49" s="2298"/>
      <c r="AD49" s="2296"/>
      <c r="AE49" s="2297"/>
      <c r="AF49" s="2297"/>
      <c r="AG49" s="2297"/>
      <c r="AH49" s="2297"/>
      <c r="AI49" s="2297"/>
      <c r="AJ49" s="2297"/>
      <c r="AK49" s="2297"/>
      <c r="AL49" s="2297"/>
      <c r="AM49" s="2297"/>
      <c r="AN49" s="2297"/>
      <c r="AO49" s="2297"/>
      <c r="AP49" s="2297"/>
      <c r="AQ49" s="2297"/>
      <c r="AR49" s="2297"/>
      <c r="AS49" s="2297"/>
      <c r="AT49" s="2297"/>
      <c r="AU49" s="2297"/>
      <c r="AV49" s="2297"/>
      <c r="AW49" s="2297"/>
      <c r="AX49" s="2297"/>
      <c r="AY49" s="2297"/>
      <c r="AZ49" s="2297"/>
      <c r="BA49" s="2297"/>
      <c r="BB49" s="2298"/>
      <c r="BC49" s="1385" t="s">
        <v>404</v>
      </c>
      <c r="BE49" s="500"/>
      <c r="BF49" s="500" t="str">
        <f>IF(T49="","",T49)</f>
        <v/>
      </c>
      <c r="BG49" s="500"/>
      <c r="BH49" s="500"/>
      <c r="BI49" s="511">
        <v>0</v>
      </c>
    </row>
    <row s="1642" customFormat="1" customHeight="1" ht="0">
      <c r="A50" s="1343" t="s">
        <v>278</v>
      </c>
      <c r="B50" s="1343" t="s">
        <v>279</v>
      </c>
      <c r="C50" s="1343" t="s">
        <v>280</v>
      </c>
      <c r="D50" s="1343" t="s">
        <v>531</v>
      </c>
      <c r="E50" s="2259"/>
      <c r="F50" s="2259"/>
      <c r="G50" s="2259"/>
      <c r="H50" s="2259"/>
      <c r="I50" s="2256" t="str">
        <f>S49&amp;".1"</f>
        <v>.1</v>
      </c>
      <c r="J50" s="1343"/>
      <c r="K50" s="1343"/>
      <c r="L50" s="1346" t="s">
        <v>405</v>
      </c>
      <c r="M50" s="510"/>
      <c r="N50" s="510"/>
      <c r="O50" s="510"/>
      <c r="P50" s="2257">
        <v>1</v>
      </c>
      <c r="Q50" s="1481"/>
      <c r="R50" s="356"/>
      <c r="S50" s="1042"/>
      <c r="T50" s="1383"/>
      <c r="U50" s="1384"/>
      <c r="V50" s="2297"/>
      <c r="W50" s="2297"/>
      <c r="X50" s="2297"/>
      <c r="Y50" s="2297"/>
      <c r="Z50" s="2297"/>
      <c r="AA50" s="2297"/>
      <c r="AB50" s="2297"/>
      <c r="AC50" s="2298"/>
      <c r="AD50" s="2296"/>
      <c r="AE50" s="2297"/>
      <c r="AF50" s="2297"/>
      <c r="AG50" s="2297"/>
      <c r="AH50" s="2297"/>
      <c r="AI50" s="2297"/>
      <c r="AJ50" s="2297"/>
      <c r="AK50" s="2297"/>
      <c r="AL50" s="2297"/>
      <c r="AM50" s="2297"/>
      <c r="AN50" s="2297"/>
      <c r="AO50" s="2297"/>
      <c r="AP50" s="2297"/>
      <c r="AQ50" s="2297"/>
      <c r="AR50" s="2297"/>
      <c r="AS50" s="2297"/>
      <c r="AT50" s="2297"/>
      <c r="AU50" s="2297"/>
      <c r="AV50" s="2297"/>
      <c r="AW50" s="2297"/>
      <c r="AX50" s="2297"/>
      <c r="AY50" s="2297"/>
      <c r="AZ50" s="2297"/>
      <c r="BA50" s="2297"/>
      <c r="BB50" s="2298"/>
      <c r="BC50" s="1385"/>
      <c r="BE50" s="500"/>
      <c r="BF50" s="500" t="str">
        <f>IF(T50="","",T50)</f>
        <v/>
      </c>
      <c r="BG50" s="500"/>
      <c r="BH50" s="500"/>
      <c r="BI50" s="511">
        <v>0</v>
      </c>
    </row>
    <row s="1642" customFormat="1" customHeight="1" ht="0">
      <c r="A51" s="1343" t="s">
        <v>278</v>
      </c>
      <c r="B51" s="1343" t="s">
        <v>279</v>
      </c>
      <c r="C51" s="1343" t="s">
        <v>280</v>
      </c>
      <c r="D51" s="1343" t="s">
        <v>531</v>
      </c>
      <c r="E51" s="2259"/>
      <c r="F51" s="2259"/>
      <c r="G51" s="2259"/>
      <c r="H51" s="2259"/>
      <c r="I51" s="2286"/>
      <c r="J51" s="2256" t="str">
        <f>S49&amp;".1"</f>
        <v>.1</v>
      </c>
      <c r="K51" s="1343"/>
      <c r="L51" s="1346"/>
      <c r="M51" s="510"/>
      <c r="N51" s="510"/>
      <c r="O51" s="510"/>
      <c r="P51" s="2257"/>
      <c r="Q51" s="2257">
        <v>1</v>
      </c>
      <c r="R51" s="357"/>
      <c r="S51" s="1042"/>
      <c r="T51" s="1399"/>
      <c r="U51" s="1384"/>
      <c r="V51" s="2297"/>
      <c r="W51" s="2297"/>
      <c r="X51" s="2297"/>
      <c r="Y51" s="2297"/>
      <c r="Z51" s="2297"/>
      <c r="AA51" s="2297"/>
      <c r="AB51" s="2297"/>
      <c r="AC51" s="2298"/>
      <c r="AD51" s="2296"/>
      <c r="AE51" s="2297"/>
      <c r="AF51" s="2297"/>
      <c r="AG51" s="2297"/>
      <c r="AH51" s="2297"/>
      <c r="AI51" s="2297"/>
      <c r="AJ51" s="2297"/>
      <c r="AK51" s="2297"/>
      <c r="AL51" s="2297"/>
      <c r="AM51" s="2297"/>
      <c r="AN51" s="2364"/>
      <c r="AO51" s="2364"/>
      <c r="AP51" s="2297"/>
      <c r="AQ51" s="2297"/>
      <c r="AR51" s="2297"/>
      <c r="AS51" s="2297"/>
      <c r="AT51" s="2297"/>
      <c r="AU51" s="2297"/>
      <c r="AV51" s="2297"/>
      <c r="AW51" s="2297"/>
      <c r="AX51" s="2297"/>
      <c r="AY51" s="2297"/>
      <c r="AZ51" s="2297"/>
      <c r="BA51" s="2297"/>
      <c r="BB51" s="2298"/>
      <c r="BC51" s="1385"/>
      <c r="BE51" s="500"/>
      <c r="BF51" s="500" t="str">
        <f>IF(T51="","",T51)</f>
        <v/>
      </c>
      <c r="BG51" s="500"/>
      <c r="BH51" s="500"/>
      <c r="BI51" s="511">
        <v>0</v>
      </c>
    </row>
    <row customHeight="1" ht="11.549999999999999">
      <c r="A52" s="1363" t="s">
        <v>278</v>
      </c>
      <c r="B52" s="1363" t="s">
        <v>279</v>
      </c>
      <c r="C52" s="1363" t="s">
        <v>280</v>
      </c>
      <c r="D52" s="1363" t="s">
        <v>531</v>
      </c>
      <c r="E52" s="2259"/>
      <c r="F52" s="2259"/>
      <c r="G52" s="2259"/>
      <c r="H52" s="2259"/>
      <c r="I52" s="2286"/>
      <c r="J52" s="2286"/>
      <c r="K52" s="2256" t="str">
        <f>S48&amp;".1"</f>
        <v>...1</v>
      </c>
      <c r="L52" s="1364"/>
      <c r="P52" s="2257"/>
      <c r="Q52" s="2257"/>
      <c r="R52" s="357">
        <v>1</v>
      </c>
      <c r="S52" s="2341" t="str">
        <f>$K52</f>
        <v>...1</v>
      </c>
      <c r="T52" s="2360"/>
      <c r="U52" s="300"/>
      <c r="V52" s="751"/>
      <c r="W52" s="1257"/>
      <c r="X52" s="751"/>
      <c r="Y52" s="1257"/>
      <c r="Z52" s="1734"/>
      <c r="AA52" s="1469" t="s">
        <v>66</v>
      </c>
      <c r="AB52" s="1734"/>
      <c r="AC52" s="1469" t="s">
        <v>66</v>
      </c>
      <c r="AD52" s="2185" t="s">
        <v>66</v>
      </c>
      <c r="AE52" s="2326"/>
      <c r="AF52" s="2205">
        <v>1</v>
      </c>
      <c r="AG52" s="2363"/>
      <c r="AH52" s="2107" t="s">
        <v>66</v>
      </c>
      <c r="AI52" s="2326"/>
      <c r="AJ52" s="2205">
        <v>1</v>
      </c>
      <c r="AK52" s="2327" t="s">
        <v>22</v>
      </c>
      <c r="AL52" s="2107" t="s">
        <v>66</v>
      </c>
      <c r="AM52" s="2192"/>
      <c r="AN52" s="2205">
        <v>1</v>
      </c>
      <c r="AO52" s="2357"/>
      <c r="AP52" s="2358" t="s">
        <v>66</v>
      </c>
      <c r="AQ52" s="311"/>
      <c r="AR52" s="1486">
        <v>1</v>
      </c>
      <c r="AS52" s="1492" t="s">
        <v>22</v>
      </c>
      <c r="AT52" s="751"/>
      <c r="AU52" s="1257"/>
      <c r="AV52" s="751"/>
      <c r="AW52" s="1257"/>
      <c r="AX52" s="1734"/>
      <c r="AY52" s="1469" t="s">
        <v>66</v>
      </c>
      <c r="AZ52" s="1734"/>
      <c r="BA52" s="1469" t="s">
        <v>66</v>
      </c>
      <c r="BB52" s="1348"/>
      <c r="BC52" s="2253" t="s">
        <v>503</v>
      </c>
      <c r="BE52" s="500"/>
      <c r="BF52" s="500" t="str">
        <f>IF(T52="","",T52)</f>
        <v/>
      </c>
      <c r="BG52" s="500"/>
      <c r="BH52" s="500"/>
      <c r="BI52" s="1155">
        <v>11</v>
      </c>
    </row>
    <row customHeight="1" ht="11.549999999999999">
      <c r="A53" s="1363"/>
      <c r="B53" s="1363"/>
      <c r="C53" s="1363"/>
      <c r="D53" s="1363"/>
      <c r="E53" s="2259"/>
      <c r="F53" s="2259"/>
      <c r="G53" s="2259"/>
      <c r="H53" s="2259"/>
      <c r="I53" s="2286"/>
      <c r="J53" s="2286"/>
      <c r="K53" s="2256"/>
      <c r="L53" s="1364"/>
      <c r="P53" s="2257"/>
      <c r="Q53" s="2257"/>
      <c r="R53" s="357"/>
      <c r="S53" s="2342"/>
      <c r="T53" s="2361"/>
      <c r="U53" s="300"/>
      <c r="V53" s="1393"/>
      <c r="W53" s="1496"/>
      <c r="X53" s="1393"/>
      <c r="Y53" s="1496"/>
      <c r="Z53" s="1393"/>
      <c r="AA53" s="1393"/>
      <c r="AB53" s="1393"/>
      <c r="AC53" s="1393"/>
      <c r="AD53" s="2186"/>
      <c r="AE53" s="2326"/>
      <c r="AF53" s="2205"/>
      <c r="AG53" s="2363"/>
      <c r="AH53" s="2107"/>
      <c r="AI53" s="2326"/>
      <c r="AJ53" s="2205"/>
      <c r="AK53" s="2327"/>
      <c r="AL53" s="2107"/>
      <c r="AM53" s="2200"/>
      <c r="AN53" s="2205"/>
      <c r="AO53" s="2357"/>
      <c r="AP53" s="2359"/>
      <c r="AQ53" s="316"/>
      <c r="AR53" s="416"/>
      <c r="AS53" s="416" t="s">
        <v>504</v>
      </c>
      <c r="AT53" s="1393"/>
      <c r="AU53" s="1496"/>
      <c r="AV53" s="1393"/>
      <c r="AW53" s="1496"/>
      <c r="AX53" s="1393"/>
      <c r="AY53" s="1393"/>
      <c r="AZ53" s="1393"/>
      <c r="BA53" s="1393"/>
      <c r="BB53" s="1397"/>
      <c r="BC53" s="2254"/>
      <c r="BE53" s="500"/>
      <c r="BF53" s="500"/>
      <c r="BG53" s="500"/>
      <c r="BH53" s="500"/>
      <c r="BI53" s="1155">
        <v>11</v>
      </c>
    </row>
    <row customHeight="1" ht="11.549999999999999">
      <c r="A54" s="1363" t="s">
        <v>278</v>
      </c>
      <c r="B54" s="1363"/>
      <c r="C54" s="1363"/>
      <c r="D54" s="1363"/>
      <c r="E54" s="2259"/>
      <c r="F54" s="2259"/>
      <c r="G54" s="2259"/>
      <c r="H54" s="2259"/>
      <c r="I54" s="2286"/>
      <c r="J54" s="2286"/>
      <c r="K54" s="2256"/>
      <c r="L54" s="1364"/>
      <c r="P54" s="2257"/>
      <c r="Q54" s="2257"/>
      <c r="R54" s="357"/>
      <c r="S54" s="2342"/>
      <c r="T54" s="2361"/>
      <c r="U54" s="300"/>
      <c r="V54" s="1393"/>
      <c r="W54" s="1496"/>
      <c r="X54" s="1393"/>
      <c r="Y54" s="1496"/>
      <c r="Z54" s="1393"/>
      <c r="AA54" s="1393"/>
      <c r="AB54" s="1393"/>
      <c r="AC54" s="1393"/>
      <c r="AD54" s="2186"/>
      <c r="AE54" s="2326"/>
      <c r="AF54" s="2205"/>
      <c r="AG54" s="2363"/>
      <c r="AH54" s="2107"/>
      <c r="AI54" s="2326"/>
      <c r="AJ54" s="2205"/>
      <c r="AK54" s="2327"/>
      <c r="AL54" s="2107"/>
      <c r="AM54" s="316"/>
      <c r="AN54" s="1500"/>
      <c r="AO54" s="1500" t="s">
        <v>524</v>
      </c>
      <c r="AP54" s="416"/>
      <c r="AQ54" s="416"/>
      <c r="AR54" s="416"/>
      <c r="AS54" s="1393"/>
      <c r="AT54" s="1393"/>
      <c r="AU54" s="1496"/>
      <c r="AV54" s="1393"/>
      <c r="AW54" s="1496"/>
      <c r="AX54" s="1393"/>
      <c r="AY54" s="1393"/>
      <c r="AZ54" s="1393"/>
      <c r="BA54" s="1393"/>
      <c r="BB54" s="1397"/>
      <c r="BC54" s="2254"/>
      <c r="BE54" s="500"/>
      <c r="BF54" s="500"/>
      <c r="BG54" s="500"/>
      <c r="BH54" s="500"/>
      <c r="BI54" s="1155">
        <v>11</v>
      </c>
    </row>
    <row customHeight="1" ht="11.549999999999999">
      <c r="A55" s="1363" t="s">
        <v>278</v>
      </c>
      <c r="B55" s="1363"/>
      <c r="C55" s="1363"/>
      <c r="D55" s="1363"/>
      <c r="E55" s="2259"/>
      <c r="F55" s="2259"/>
      <c r="G55" s="2259"/>
      <c r="H55" s="2259"/>
      <c r="I55" s="2286"/>
      <c r="J55" s="2286"/>
      <c r="K55" s="2256"/>
      <c r="L55" s="1364"/>
      <c r="P55" s="2257"/>
      <c r="Q55" s="2257"/>
      <c r="R55" s="357"/>
      <c r="S55" s="2342"/>
      <c r="T55" s="2361"/>
      <c r="U55" s="300"/>
      <c r="V55" s="1393"/>
      <c r="W55" s="1496"/>
      <c r="X55" s="1393"/>
      <c r="Y55" s="1496"/>
      <c r="Z55" s="1393"/>
      <c r="AA55" s="1393"/>
      <c r="AB55" s="1393"/>
      <c r="AC55" s="1393"/>
      <c r="AD55" s="2186"/>
      <c r="AE55" s="2326"/>
      <c r="AF55" s="2205"/>
      <c r="AG55" s="2363"/>
      <c r="AH55" s="2107"/>
      <c r="AI55" s="294"/>
      <c r="AJ55" s="415"/>
      <c r="AK55" s="313" t="s">
        <v>525</v>
      </c>
      <c r="AL55" s="1393"/>
      <c r="AM55" s="1393"/>
      <c r="AN55" s="1393"/>
      <c r="AO55" s="1393"/>
      <c r="AP55" s="1393"/>
      <c r="AQ55" s="1393"/>
      <c r="AR55" s="1393"/>
      <c r="AS55" s="1393"/>
      <c r="AT55" s="1393"/>
      <c r="AU55" s="1496"/>
      <c r="AV55" s="1393"/>
      <c r="AW55" s="1496"/>
      <c r="AX55" s="1393"/>
      <c r="AY55" s="1393"/>
      <c r="AZ55" s="1393"/>
      <c r="BA55" s="1393"/>
      <c r="BB55" s="1397"/>
      <c r="BC55" s="2254"/>
      <c r="BE55" s="500"/>
      <c r="BF55" s="500"/>
      <c r="BG55" s="500"/>
      <c r="BH55" s="500"/>
      <c r="BI55" s="1155">
        <v>11</v>
      </c>
    </row>
    <row customHeight="1" ht="11.549999999999999">
      <c r="A56" s="1363" t="s">
        <v>278</v>
      </c>
      <c r="B56" s="1363" t="s">
        <v>279</v>
      </c>
      <c r="C56" s="1363" t="s">
        <v>280</v>
      </c>
      <c r="D56" s="1363" t="s">
        <v>531</v>
      </c>
      <c r="E56" s="2259"/>
      <c r="F56" s="2259"/>
      <c r="G56" s="2259"/>
      <c r="H56" s="2259"/>
      <c r="I56" s="2286"/>
      <c r="J56" s="2286"/>
      <c r="K56" s="2256"/>
      <c r="L56" s="1364"/>
      <c r="P56" s="2257"/>
      <c r="Q56" s="2257"/>
      <c r="R56" s="357"/>
      <c r="S56" s="2343"/>
      <c r="T56" s="2362"/>
      <c r="U56" s="300"/>
      <c r="V56" s="1393"/>
      <c r="W56" s="1394" t="str">
        <f>Z52&amp;"-"&amp;AB52</f>
        <v>-</v>
      </c>
      <c r="X56" s="1393"/>
      <c r="Y56" s="1394" t="str">
        <f>AB52&amp;"-"&amp;AD52</f>
        <v>-да</v>
      </c>
      <c r="Z56" s="1393"/>
      <c r="AA56" s="1393"/>
      <c r="AB56" s="1393"/>
      <c r="AC56" s="1393"/>
      <c r="AD56" s="2112"/>
      <c r="AE56" s="312"/>
      <c r="AF56" s="314"/>
      <c r="AG56" s="416" t="s">
        <v>507</v>
      </c>
      <c r="AH56" s="1393"/>
      <c r="AI56" s="1393"/>
      <c r="AJ56" s="1393"/>
      <c r="AK56" s="1393"/>
      <c r="AL56" s="1393"/>
      <c r="AM56" s="1393"/>
      <c r="AN56" s="1393"/>
      <c r="AO56" s="1393"/>
      <c r="AP56" s="1393"/>
      <c r="AQ56" s="1393"/>
      <c r="AR56" s="1393"/>
      <c r="AS56" s="1393"/>
      <c r="AT56" s="1393"/>
      <c r="AU56" s="1394" t="str">
        <f>AX52&amp;"-"&amp;AZ52</f>
        <v>-</v>
      </c>
      <c r="AV56" s="1393"/>
      <c r="AW56" s="1394" t="str">
        <f>AZ52&amp;"-"&amp;BB52</f>
        <v>-</v>
      </c>
      <c r="AX56" s="1393"/>
      <c r="AY56" s="1393"/>
      <c r="AZ56" s="1393"/>
      <c r="BA56" s="1393"/>
      <c r="BB56" s="1396" t="str">
        <f>BE52&amp;"-"&amp;BG52</f>
        <v>-</v>
      </c>
      <c r="BC56" s="2254"/>
      <c r="BE56" s="500"/>
      <c r="BF56" s="500" t="str">
        <f>IF(T56="","",T56)</f>
        <v/>
      </c>
      <c r="BG56" s="500"/>
      <c r="BH56" s="500"/>
      <c r="BI56" s="1155">
        <v>11</v>
      </c>
    </row>
    <row customHeight="1" ht="11.549999999999999">
      <c r="A57" s="1363" t="s">
        <v>278</v>
      </c>
      <c r="B57" s="1363" t="s">
        <v>279</v>
      </c>
      <c r="C57" s="1363" t="s">
        <v>280</v>
      </c>
      <c r="D57" s="1363" t="s">
        <v>531</v>
      </c>
      <c r="E57" s="2259"/>
      <c r="F57" s="2259"/>
      <c r="G57" s="2259"/>
      <c r="H57" s="2259"/>
      <c r="I57" s="2286"/>
      <c r="J57" s="2256"/>
      <c r="K57" s="1363"/>
      <c r="L57" s="1364"/>
      <c r="P57" s="2257"/>
      <c r="Q57" s="2257"/>
      <c r="R57" s="356"/>
      <c r="S57" s="1278"/>
      <c r="T57" s="287" t="s">
        <v>470</v>
      </c>
      <c r="U57" s="367"/>
      <c r="V57" s="367"/>
      <c r="W57" s="367"/>
      <c r="X57" s="367"/>
      <c r="Y57" s="367"/>
      <c r="Z57" s="367"/>
      <c r="AA57" s="367"/>
      <c r="AB57" s="367"/>
      <c r="AC57" s="324"/>
      <c r="AD57" s="1505"/>
      <c r="AE57" s="367"/>
      <c r="AF57" s="367"/>
      <c r="AG57" s="367"/>
      <c r="AH57" s="367"/>
      <c r="AI57" s="367"/>
      <c r="AJ57" s="367"/>
      <c r="AK57" s="367"/>
      <c r="AL57" s="367"/>
      <c r="AM57" s="367"/>
      <c r="AN57" s="367"/>
      <c r="AO57" s="367"/>
      <c r="AP57" s="367"/>
      <c r="AQ57" s="367"/>
      <c r="AR57" s="367"/>
      <c r="AS57" s="367"/>
      <c r="AT57" s="367"/>
      <c r="AU57" s="367"/>
      <c r="AV57" s="367"/>
      <c r="AW57" s="367"/>
      <c r="AX57" s="367"/>
      <c r="AY57" s="367"/>
      <c r="AZ57" s="367"/>
      <c r="BA57" s="367"/>
      <c r="BB57" s="324"/>
      <c r="BC57" s="2255"/>
      <c r="BE57" s="500"/>
      <c r="BF57" s="500" t="str">
        <f>IF(T57="","",T57)</f>
        <v>Добавить строку</v>
      </c>
      <c r="BG57" s="500"/>
      <c r="BH57" s="500"/>
      <c r="BI57" s="1155">
        <v>11</v>
      </c>
    </row>
    <row s="1642" customFormat="1" customHeight="1" ht="0">
      <c r="A58" s="1343" t="s">
        <v>278</v>
      </c>
      <c r="B58" s="1343" t="s">
        <v>279</v>
      </c>
      <c r="C58" s="1343" t="s">
        <v>280</v>
      </c>
      <c r="D58" s="1343" t="s">
        <v>531</v>
      </c>
      <c r="E58" s="2259"/>
      <c r="F58" s="2259"/>
      <c r="G58" s="2259"/>
      <c r="H58" s="2259"/>
      <c r="I58" s="2256"/>
      <c r="J58" s="1343"/>
      <c r="K58" s="1343"/>
      <c r="L58" s="1346"/>
      <c r="M58" s="510"/>
      <c r="N58" s="510"/>
      <c r="O58" s="510"/>
      <c r="P58" s="2257"/>
      <c r="Q58" s="1481"/>
      <c r="R58" s="356"/>
      <c r="S58" s="1386"/>
      <c r="T58" s="1387"/>
      <c r="U58" s="1388"/>
      <c r="V58" s="1388"/>
      <c r="W58" s="1388"/>
      <c r="X58" s="1388"/>
      <c r="Y58" s="1388"/>
      <c r="Z58" s="1388"/>
      <c r="AA58" s="1388"/>
      <c r="AB58" s="1388"/>
      <c r="AC58" s="1388"/>
      <c r="AD58" s="1388"/>
      <c r="AE58" s="1388"/>
      <c r="AF58" s="1388"/>
      <c r="AG58" s="1388"/>
      <c r="AH58" s="1388"/>
      <c r="AI58" s="1388"/>
      <c r="AJ58" s="1388"/>
      <c r="AK58" s="1388"/>
      <c r="AL58" s="1388"/>
      <c r="AM58" s="1388"/>
      <c r="AN58" s="1388"/>
      <c r="AO58" s="1388"/>
      <c r="AP58" s="1388"/>
      <c r="AQ58" s="1388"/>
      <c r="AR58" s="1388"/>
      <c r="AS58" s="1388"/>
      <c r="AT58" s="1388"/>
      <c r="AU58" s="1388"/>
      <c r="AV58" s="1388"/>
      <c r="AW58" s="1388"/>
      <c r="AX58" s="1388"/>
      <c r="AY58" s="1388"/>
      <c r="AZ58" s="1388"/>
      <c r="BA58" s="1388"/>
      <c r="BB58" s="1388"/>
      <c r="BC58" s="1389"/>
      <c r="BE58" s="500"/>
      <c r="BF58" s="500" t="str">
        <f>IF(T58="","",T58)</f>
        <v/>
      </c>
      <c r="BG58" s="500"/>
      <c r="BH58" s="500"/>
      <c r="BI58" s="511">
        <v>0</v>
      </c>
    </row>
    <row s="1642" customFormat="1" customHeight="1" ht="0">
      <c r="A59" s="1343" t="s">
        <v>278</v>
      </c>
      <c r="B59" s="1343" t="s">
        <v>279</v>
      </c>
      <c r="C59" s="1343" t="s">
        <v>280</v>
      </c>
      <c r="D59" s="1343" t="s">
        <v>531</v>
      </c>
      <c r="E59" s="2259"/>
      <c r="F59" s="2259"/>
      <c r="G59" s="2259"/>
      <c r="H59" s="2258"/>
      <c r="I59" s="1343"/>
      <c r="J59" s="1343"/>
      <c r="K59" s="1343"/>
      <c r="L59" s="1346"/>
      <c r="M59" s="1315"/>
      <c r="N59" s="1315"/>
      <c r="O59" s="518"/>
      <c r="P59" s="380"/>
      <c r="Q59" s="1344"/>
      <c r="R59" s="1401"/>
      <c r="S59" s="1386"/>
      <c r="T59" s="1387"/>
      <c r="U59" s="1388"/>
      <c r="V59" s="1388"/>
      <c r="W59" s="1388"/>
      <c r="X59" s="1388"/>
      <c r="Y59" s="1388"/>
      <c r="Z59" s="1388"/>
      <c r="AA59" s="1388"/>
      <c r="AB59" s="1388"/>
      <c r="AC59" s="1388"/>
      <c r="AD59" s="1388"/>
      <c r="AE59" s="1388"/>
      <c r="AF59" s="1388"/>
      <c r="AG59" s="1388"/>
      <c r="AH59" s="1388"/>
      <c r="AI59" s="1388"/>
      <c r="AJ59" s="1388"/>
      <c r="AK59" s="1388"/>
      <c r="AL59" s="1388"/>
      <c r="AM59" s="1388"/>
      <c r="AN59" s="1388"/>
      <c r="AO59" s="1388"/>
      <c r="AP59" s="1388"/>
      <c r="AQ59" s="1388"/>
      <c r="AR59" s="1388"/>
      <c r="AS59" s="1388"/>
      <c r="AT59" s="1388"/>
      <c r="AU59" s="1388"/>
      <c r="AV59" s="1388"/>
      <c r="AW59" s="1388"/>
      <c r="AX59" s="1388"/>
      <c r="AY59" s="1388"/>
      <c r="AZ59" s="1388"/>
      <c r="BA59" s="1388"/>
      <c r="BB59" s="1388"/>
      <c r="BC59" s="1389"/>
      <c r="BE59" s="500"/>
      <c r="BF59" s="500" t="str">
        <f>IF(T59="","",T59)</f>
        <v/>
      </c>
      <c r="BG59" s="500"/>
      <c r="BH59" s="500"/>
      <c r="BI59" s="511">
        <v>0</v>
      </c>
    </row>
    <row s="1642" customFormat="1" customHeight="1" ht="0">
      <c r="A60" s="1343" t="s">
        <v>278</v>
      </c>
      <c r="B60" s="1343" t="s">
        <v>279</v>
      </c>
      <c r="C60" s="1343" t="s">
        <v>280</v>
      </c>
      <c r="D60" s="1314"/>
      <c r="E60" s="2259"/>
      <c r="F60" s="2259"/>
      <c r="G60" s="2258"/>
      <c r="H60" s="1314"/>
      <c r="I60" s="1314"/>
      <c r="J60" s="1314"/>
      <c r="K60" s="1314"/>
      <c r="L60" s="1494"/>
      <c r="M60" s="1315"/>
      <c r="N60" s="1315"/>
      <c r="P60" s="1316"/>
      <c r="Q60" s="1317"/>
      <c r="R60" s="1316"/>
      <c r="S60" s="1322"/>
      <c r="T60" s="1325"/>
      <c r="U60" s="1324"/>
      <c r="V60" s="1324"/>
      <c r="W60" s="1324"/>
      <c r="X60" s="1324"/>
      <c r="Y60" s="1324"/>
      <c r="Z60" s="1324"/>
      <c r="AA60" s="1324"/>
      <c r="AB60" s="1324"/>
      <c r="AC60" s="1324"/>
      <c r="AD60" s="1324"/>
      <c r="AE60" s="1324"/>
      <c r="AF60" s="1324"/>
      <c r="AG60" s="1324"/>
      <c r="AH60" s="1324"/>
      <c r="AI60" s="1324"/>
      <c r="AJ60" s="1324"/>
      <c r="AK60" s="1324"/>
      <c r="AL60" s="1324"/>
      <c r="AM60" s="1324"/>
      <c r="AN60" s="1324"/>
      <c r="AO60" s="1324"/>
      <c r="AP60" s="1324"/>
      <c r="AQ60" s="1324"/>
      <c r="AR60" s="1324"/>
      <c r="AS60" s="1324"/>
      <c r="AT60" s="1324"/>
      <c r="AU60" s="1324"/>
      <c r="AV60" s="1324"/>
      <c r="AW60" s="1324"/>
      <c r="AX60" s="1324"/>
      <c r="AY60" s="1324"/>
      <c r="AZ60" s="1324"/>
      <c r="BA60" s="1324"/>
      <c r="BB60" s="1324"/>
      <c r="BC60" s="1324"/>
      <c r="BE60" s="789"/>
      <c r="BF60" s="789" t="str">
        <f>IF(T60="","",T60)</f>
        <v/>
      </c>
      <c r="BG60" s="789"/>
      <c r="BH60" s="789"/>
      <c r="BI60" s="518">
        <v>0</v>
      </c>
    </row>
    <row s="1642" customFormat="1" customHeight="1" ht="0">
      <c r="A61" s="1343" t="s">
        <v>278</v>
      </c>
      <c r="B61" s="1343" t="s">
        <v>279</v>
      </c>
      <c r="C61" s="1314"/>
      <c r="D61" s="1314"/>
      <c r="E61" s="2259"/>
      <c r="F61" s="2258"/>
      <c r="G61" s="1314"/>
      <c r="H61" s="1314"/>
      <c r="I61" s="1314"/>
      <c r="J61" s="1314"/>
      <c r="K61" s="1314"/>
      <c r="L61" s="1494"/>
      <c r="M61" s="1321"/>
      <c r="N61" s="1321"/>
      <c r="P61" s="1316"/>
      <c r="Q61" s="1317"/>
      <c r="R61" s="1316"/>
      <c r="S61" s="1322"/>
      <c r="T61" s="1325" t="s">
        <v>417</v>
      </c>
      <c r="U61" s="1324"/>
      <c r="V61" s="1324"/>
      <c r="W61" s="1324"/>
      <c r="X61" s="1324"/>
      <c r="Y61" s="1324"/>
      <c r="Z61" s="1324"/>
      <c r="AA61" s="1324"/>
      <c r="AB61" s="1324"/>
      <c r="AC61" s="1324"/>
      <c r="AD61" s="1324"/>
      <c r="AE61" s="1324"/>
      <c r="AF61" s="1324"/>
      <c r="AG61" s="1324"/>
      <c r="AH61" s="1324"/>
      <c r="AI61" s="1324"/>
      <c r="AJ61" s="1324"/>
      <c r="AK61" s="1324"/>
      <c r="AL61" s="1324"/>
      <c r="AM61" s="1324"/>
      <c r="AN61" s="1324"/>
      <c r="AO61" s="1324"/>
      <c r="AP61" s="1324"/>
      <c r="AQ61" s="1324"/>
      <c r="AR61" s="1324"/>
      <c r="AS61" s="1324"/>
      <c r="AT61" s="1324"/>
      <c r="AU61" s="1324"/>
      <c r="AV61" s="1324"/>
      <c r="AW61" s="1324"/>
      <c r="AX61" s="1324"/>
      <c r="AY61" s="1324"/>
      <c r="AZ61" s="1324"/>
      <c r="BA61" s="1324"/>
      <c r="BB61" s="1324"/>
      <c r="BC61" s="1324"/>
      <c r="BE61" s="789"/>
      <c r="BF61" s="789" t="str">
        <f>IF(T61="","",T61)</f>
        <v>Добавить централизованную систему для дифференциации</v>
      </c>
      <c r="BG61" s="789"/>
      <c r="BH61" s="789"/>
      <c r="BI61" s="518">
        <v>0</v>
      </c>
    </row>
    <row s="1642" customFormat="1" customHeight="1" ht="0">
      <c r="A62" s="1343" t="s">
        <v>278</v>
      </c>
      <c r="B62" s="1343"/>
      <c r="C62" s="1343"/>
      <c r="D62" s="1343"/>
      <c r="E62" s="2258"/>
      <c r="F62" s="1343"/>
      <c r="G62" s="1343"/>
      <c r="H62" s="1343"/>
      <c r="I62" s="1343"/>
      <c r="J62" s="1343"/>
      <c r="K62" s="1343"/>
      <c r="L62" s="1346"/>
      <c r="M62" s="1321"/>
      <c r="N62" s="1321"/>
      <c r="O62" s="518"/>
      <c r="P62" s="380"/>
      <c r="Q62" s="1344"/>
      <c r="R62" s="380"/>
      <c r="S62" s="1322"/>
      <c r="T62" s="1325" t="s">
        <v>418</v>
      </c>
      <c r="U62" s="1324"/>
      <c r="V62" s="1324"/>
      <c r="W62" s="1324"/>
      <c r="X62" s="1324"/>
      <c r="Y62" s="1324"/>
      <c r="Z62" s="1324"/>
      <c r="AA62" s="1324"/>
      <c r="AB62" s="1324"/>
      <c r="AC62" s="1324"/>
      <c r="AD62" s="1324"/>
      <c r="AE62" s="1324"/>
      <c r="AF62" s="1324"/>
      <c r="AG62" s="1324"/>
      <c r="AH62" s="1324"/>
      <c r="AI62" s="1324"/>
      <c r="AJ62" s="1324"/>
      <c r="AK62" s="1324"/>
      <c r="AL62" s="1324"/>
      <c r="AM62" s="1324"/>
      <c r="AN62" s="1324"/>
      <c r="AO62" s="1324"/>
      <c r="AP62" s="1324"/>
      <c r="AQ62" s="1324"/>
      <c r="AR62" s="1324"/>
      <c r="AS62" s="1324"/>
      <c r="AT62" s="1324"/>
      <c r="AU62" s="1324"/>
      <c r="AV62" s="1324"/>
      <c r="AW62" s="1324"/>
      <c r="AX62" s="1324"/>
      <c r="AY62" s="1324"/>
      <c r="AZ62" s="1324"/>
      <c r="BA62" s="1324"/>
      <c r="BB62" s="1324"/>
      <c r="BC62" s="1324"/>
      <c r="BE62" s="500"/>
      <c r="BF62" s="500" t="str">
        <f>IF(T62="","",T62)</f>
        <v>Добавить территорию для дифференциации</v>
      </c>
      <c r="BG62" s="500"/>
      <c r="BH62" s="500"/>
      <c r="BI62" s="511">
        <v>0</v>
      </c>
    </row>
    <row s="1642" customFormat="1" customHeight="1" ht="0">
      <c r="A63" s="1314"/>
      <c r="B63" s="1314"/>
      <c r="C63" s="1314"/>
      <c r="D63" s="1314"/>
      <c r="E63" s="1343"/>
      <c r="F63" s="1314"/>
      <c r="G63" s="1314"/>
      <c r="H63" s="1314"/>
      <c r="I63" s="1314"/>
      <c r="J63" s="1314"/>
      <c r="K63" s="1314"/>
      <c r="L63" s="1494"/>
      <c r="M63" s="1321"/>
      <c r="N63" s="1321"/>
      <c r="P63" s="1316"/>
      <c r="Q63" s="1317"/>
      <c r="R63" s="1316"/>
      <c r="S63" s="1322"/>
      <c r="T63" s="1325" t="s">
        <v>450</v>
      </c>
      <c r="U63" s="1324"/>
      <c r="V63" s="1324"/>
      <c r="W63" s="1324"/>
      <c r="X63" s="1324"/>
      <c r="Y63" s="1324"/>
      <c r="Z63" s="1324"/>
      <c r="AA63" s="1324"/>
      <c r="AB63" s="1324"/>
      <c r="AC63" s="1324"/>
      <c r="AD63" s="1324"/>
      <c r="AE63" s="1324"/>
      <c r="AF63" s="1324"/>
      <c r="AG63" s="1324"/>
      <c r="AH63" s="1324"/>
      <c r="AI63" s="1324"/>
      <c r="AJ63" s="1324"/>
      <c r="AK63" s="1324"/>
      <c r="AL63" s="1324"/>
      <c r="AM63" s="1324"/>
      <c r="AN63" s="1324"/>
      <c r="AO63" s="1324"/>
      <c r="AP63" s="1324"/>
      <c r="AQ63" s="1324"/>
      <c r="AR63" s="1324"/>
      <c r="AS63" s="1324"/>
      <c r="AT63" s="1324"/>
      <c r="AU63" s="1324"/>
      <c r="AV63" s="1324"/>
      <c r="AW63" s="1324"/>
      <c r="AX63" s="1324"/>
      <c r="AY63" s="1324"/>
      <c r="AZ63" s="1324"/>
      <c r="BA63" s="1324"/>
      <c r="BB63" s="1324"/>
      <c r="BC63" s="1324"/>
      <c r="BE63" s="789"/>
      <c r="BF63" s="789" t="str">
        <f>IF(T63="","",T63)</f>
        <v>Добавить наименование тарифа</v>
      </c>
      <c r="BG63" s="789"/>
      <c r="BH63" s="789"/>
      <c r="BI63" s="518">
        <v>0</v>
      </c>
    </row>
    <row customHeight="1" ht="11.549999999999999">
      <c r="M64" s="1160"/>
      <c r="N64" s="1160"/>
      <c r="O64" s="537"/>
      <c r="P64" s="1160"/>
      <c r="Q64" s="1160"/>
      <c r="R64" s="1155"/>
      <c r="S64" s="1155"/>
      <c r="BD64" s="1155"/>
      <c r="BE64" s="1155"/>
      <c r="BF64" s="1155"/>
      <c r="BG64" s="1155"/>
      <c r="BH64" s="1155"/>
      <c r="BI64" s="1155">
        <v>11</v>
      </c>
    </row>
    <row customHeight="1" ht="14.699999999999998">
      <c r="O65" s="537"/>
      <c r="S65" s="1253"/>
      <c r="T65" s="2285"/>
      <c r="U65" s="2285"/>
      <c r="V65" s="2285"/>
      <c r="W65" s="2285"/>
      <c r="X65" s="2285"/>
      <c r="Y65" s="2285"/>
      <c r="Z65" s="2285"/>
      <c r="AA65" s="2285"/>
      <c r="AB65" s="2285"/>
      <c r="AC65" s="2285"/>
      <c r="AD65" s="2285"/>
      <c r="AE65" s="2285"/>
      <c r="AF65" s="2285"/>
      <c r="AG65" s="2285"/>
      <c r="AH65" s="2285"/>
      <c r="AI65" s="2285"/>
      <c r="AJ65" s="2285"/>
      <c r="AK65" s="2285"/>
      <c r="AL65" s="2285"/>
      <c r="AM65" s="2285"/>
      <c r="AN65" s="2285"/>
      <c r="AO65" s="2285"/>
      <c r="AP65" s="2285"/>
      <c r="AQ65" s="2285"/>
      <c r="AR65" s="2285"/>
      <c r="AS65" s="2285"/>
      <c r="AT65" s="2285"/>
      <c r="AU65" s="2285"/>
      <c r="AV65" s="2285"/>
      <c r="AW65" s="2285"/>
      <c r="AX65" s="2285"/>
      <c r="AY65" s="2285"/>
      <c r="AZ65" s="2285"/>
      <c r="BA65" s="2285"/>
      <c r="BB65" s="2285"/>
      <c r="BC65" s="2285"/>
      <c r="BI65" s="1155">
        <v>14</v>
      </c>
    </row>
    <row customHeight="1" ht="14.699999999999998">
      <c r="O66" s="537"/>
      <c r="T66" s="1480"/>
      <c r="U66" s="1480"/>
      <c r="V66" s="1480"/>
      <c r="W66" s="1480"/>
      <c r="X66" s="1480"/>
      <c r="Y66" s="1480"/>
      <c r="Z66" s="1480"/>
      <c r="AA66" s="1480"/>
      <c r="AB66" s="1480"/>
      <c r="AC66" s="1480"/>
      <c r="AD66" s="1480"/>
      <c r="AE66" s="1480"/>
      <c r="AF66" s="1480"/>
      <c r="AG66" s="1480"/>
      <c r="AH66" s="1480"/>
      <c r="AI66" s="1480"/>
      <c r="AJ66" s="1480"/>
      <c r="AK66" s="1480"/>
      <c r="AL66" s="1480"/>
      <c r="AM66" s="1480"/>
      <c r="AN66" s="1480"/>
      <c r="AO66" s="1480"/>
      <c r="AP66" s="1480"/>
      <c r="AQ66" s="1480"/>
      <c r="AR66" s="1480"/>
      <c r="AS66" s="1480"/>
      <c r="AT66" s="1480"/>
      <c r="AU66" s="1480"/>
      <c r="AV66" s="1480"/>
      <c r="AW66" s="1480"/>
      <c r="AX66" s="1480"/>
      <c r="AY66" s="1480"/>
      <c r="AZ66" s="1480"/>
      <c r="BA66" s="1480"/>
      <c r="BB66" s="1480"/>
      <c r="BC66" s="1480"/>
      <c r="BI66" s="1155">
        <v>14</v>
      </c>
    </row>
    <row customHeight="1" ht="14.699999999999998">
      <c r="O67" s="537"/>
      <c r="S67" s="1253"/>
      <c r="T67" s="2285"/>
      <c r="U67" s="2285"/>
      <c r="V67" s="2285"/>
      <c r="W67" s="2285"/>
      <c r="X67" s="2285"/>
      <c r="Y67" s="2285"/>
      <c r="Z67" s="2285"/>
      <c r="AA67" s="2285"/>
      <c r="AB67" s="2285"/>
      <c r="AC67" s="2285"/>
      <c r="AD67" s="2285"/>
      <c r="AE67" s="2285"/>
      <c r="AF67" s="2285"/>
      <c r="AG67" s="2285"/>
      <c r="AH67" s="2285"/>
      <c r="AI67" s="2285"/>
      <c r="AJ67" s="2285"/>
      <c r="AK67" s="2285"/>
      <c r="AL67" s="2285"/>
      <c r="AM67" s="2285"/>
      <c r="AN67" s="2285"/>
      <c r="AO67" s="2285"/>
      <c r="AP67" s="2285"/>
      <c r="AQ67" s="2285"/>
      <c r="AR67" s="2285"/>
      <c r="AS67" s="2285"/>
      <c r="AT67" s="2285"/>
      <c r="AU67" s="2285"/>
      <c r="AV67" s="2285"/>
      <c r="AW67" s="2285"/>
      <c r="AX67" s="2285"/>
      <c r="AY67" s="2285"/>
      <c r="AZ67" s="2285"/>
      <c r="BA67" s="2285"/>
      <c r="BB67" s="2285"/>
      <c r="BC67" s="2285"/>
      <c r="BI67" s="1155">
        <v>14</v>
      </c>
    </row>
    <row customHeight="1" ht="14.699999999999998">
      <c r="O68" s="537"/>
      <c r="BI68" s="1155">
        <v>14</v>
      </c>
    </row>
    <row customHeight="1" ht="14.25" hidden="1">
      <c r="A69" s="1160" t="s">
        <v>82</v>
      </c>
      <c r="B69" s="1160">
        <v>0</v>
      </c>
      <c r="C69" s="1160">
        <v>0</v>
      </c>
      <c r="D69" s="1160">
        <v>0</v>
      </c>
      <c r="E69" s="1160">
        <v>0</v>
      </c>
      <c r="F69" s="1160">
        <v>0</v>
      </c>
      <c r="G69" s="1160">
        <v>0</v>
      </c>
      <c r="H69" s="1160">
        <v>0</v>
      </c>
      <c r="I69" s="1160">
        <v>0</v>
      </c>
      <c r="J69" s="1160">
        <v>0</v>
      </c>
      <c r="K69" s="1160">
        <v>0</v>
      </c>
      <c r="L69" s="1478">
        <v>0</v>
      </c>
      <c r="M69" s="1362">
        <v>0</v>
      </c>
      <c r="N69" s="1362">
        <v>0</v>
      </c>
      <c r="O69" s="1362">
        <v>0</v>
      </c>
      <c r="P69" s="1362">
        <v>0</v>
      </c>
      <c r="Q69" s="1371">
        <v>0</v>
      </c>
      <c r="R69" s="344">
        <v>3</v>
      </c>
      <c r="S69" s="581">
        <v>12</v>
      </c>
      <c r="T69" s="1155">
        <v>31</v>
      </c>
      <c r="U69" s="1155">
        <v>0</v>
      </c>
      <c r="V69" s="1155">
        <v>0</v>
      </c>
      <c r="W69" s="1155">
        <v>0</v>
      </c>
      <c r="X69" s="1155">
        <v>0</v>
      </c>
      <c r="Y69" s="1155">
        <v>0</v>
      </c>
      <c r="Z69" s="1155">
        <v>0</v>
      </c>
      <c r="AA69" s="1155">
        <v>0</v>
      </c>
      <c r="AB69" s="1155">
        <v>0</v>
      </c>
      <c r="AC69" s="1155">
        <v>0</v>
      </c>
      <c r="AD69" s="1155">
        <v>3</v>
      </c>
      <c r="AE69" s="1155">
        <v>3</v>
      </c>
      <c r="AF69" s="1155">
        <v>3</v>
      </c>
      <c r="AG69" s="1155">
        <v>24</v>
      </c>
      <c r="AH69" s="1155">
        <v>3</v>
      </c>
      <c r="AI69" s="1155">
        <v>3</v>
      </c>
      <c r="AJ69" s="1155">
        <v>3</v>
      </c>
      <c r="AK69" s="1155">
        <v>24</v>
      </c>
      <c r="AL69" s="1155">
        <v>3</v>
      </c>
      <c r="AM69" s="1155">
        <v>3</v>
      </c>
      <c r="AN69" s="1155">
        <v>3</v>
      </c>
      <c r="AO69" s="1155">
        <v>18</v>
      </c>
      <c r="AP69" s="1155">
        <v>3</v>
      </c>
      <c r="AQ69" s="1155">
        <v>3</v>
      </c>
      <c r="AR69" s="1155">
        <v>3</v>
      </c>
      <c r="AS69" s="1155">
        <v>18</v>
      </c>
      <c r="AT69" s="1155">
        <v>21</v>
      </c>
      <c r="AU69" s="1155">
        <v>21</v>
      </c>
      <c r="AV69" s="1155">
        <v>21</v>
      </c>
      <c r="AW69" s="1155">
        <v>21</v>
      </c>
      <c r="AX69" s="1155">
        <v>11</v>
      </c>
      <c r="AY69" s="1155">
        <v>3</v>
      </c>
      <c r="AZ69" s="1155">
        <v>11</v>
      </c>
      <c r="BA69" s="1155">
        <v>0</v>
      </c>
      <c r="BB69" s="1155">
        <v>4</v>
      </c>
      <c r="BC69" s="1155">
        <v>115</v>
      </c>
      <c r="BD69" s="511">
        <v>10</v>
      </c>
      <c r="BE69" s="511">
        <v>10</v>
      </c>
      <c r="BF69" s="511">
        <v>10</v>
      </c>
      <c r="BG69" s="511">
        <v>10</v>
      </c>
      <c r="BH69" s="511">
        <v>10</v>
      </c>
      <c r="BI69" s="1155">
        <v>23</v>
      </c>
    </row>
  </sheetData>
  <sheetProtection formatColumns="0" formatRows="0" autoFilter="0" sort="0" insertRows="0" insertColumns="1" deleteRows="0" deleteColumns="0"/>
  <mergeCells count="122">
    <mergeCell ref="T65:BC65"/>
    <mergeCell ref="T67:BC67"/>
    <mergeCell ref="AL52:AL54"/>
    <mergeCell ref="AM52:AM53"/>
    <mergeCell ref="AN52:AN53"/>
    <mergeCell ref="AO52:AO53"/>
    <mergeCell ref="AP52:AP53"/>
    <mergeCell ref="BC52:BC57"/>
    <mergeCell ref="AF52:AF55"/>
    <mergeCell ref="AG52:AG55"/>
    <mergeCell ref="AH52:AH55"/>
    <mergeCell ref="AI52:AI54"/>
    <mergeCell ref="AJ52:AJ54"/>
    <mergeCell ref="AK52:AK54"/>
    <mergeCell ref="I50:I58"/>
    <mergeCell ref="P50:P58"/>
    <mergeCell ref="V50:AC50"/>
    <mergeCell ref="AD50:BB50"/>
    <mergeCell ref="J51:J57"/>
    <mergeCell ref="Q51:Q57"/>
    <mergeCell ref="V51:AC51"/>
    <mergeCell ref="AD51:BB51"/>
    <mergeCell ref="K52:K56"/>
    <mergeCell ref="S52:S56"/>
    <mergeCell ref="T52:T56"/>
    <mergeCell ref="AD52:AD56"/>
    <mergeCell ref="AE52:AE55"/>
    <mergeCell ref="AA45:AB45"/>
    <mergeCell ref="AY45:AZ45"/>
    <mergeCell ref="E46:E62"/>
    <mergeCell ref="V46:AC46"/>
    <mergeCell ref="AD46:BB46"/>
    <mergeCell ref="F47:F61"/>
    <mergeCell ref="V47:AC47"/>
    <mergeCell ref="AL41:AO44"/>
    <mergeCell ref="AP41:AS44"/>
    <mergeCell ref="AT41:AZ41"/>
    <mergeCell ref="BA41:BA44"/>
    <mergeCell ref="BB41:BB44"/>
    <mergeCell ref="V42:W43"/>
    <mergeCell ref="X42:Y43"/>
    <mergeCell ref="Z42:AB43"/>
    <mergeCell ref="AT42:AU43"/>
    <mergeCell ref="AV42:AW43"/>
    <mergeCell ref="AD47:BB47"/>
    <mergeCell ref="G48:G60"/>
    <mergeCell ref="V48:AC48"/>
    <mergeCell ref="AD48:BB48"/>
    <mergeCell ref="H49:H59"/>
    <mergeCell ref="V49:AC49"/>
    <mergeCell ref="AD49:BB49"/>
    <mergeCell ref="V39:AC39"/>
    <mergeCell ref="AD39:BA39"/>
    <mergeCell ref="S40:BB40"/>
    <mergeCell ref="BC40:BC44"/>
    <mergeCell ref="S41:S44"/>
    <mergeCell ref="T41:T44"/>
    <mergeCell ref="V41:AB41"/>
    <mergeCell ref="AC41:AC44"/>
    <mergeCell ref="AD41:AG44"/>
    <mergeCell ref="AH41:AK44"/>
    <mergeCell ref="AX42:AZ43"/>
    <mergeCell ref="AA44:AB44"/>
    <mergeCell ref="AY44:AZ44"/>
    <mergeCell ref="S36:T36"/>
    <mergeCell ref="V36:AB36"/>
    <mergeCell ref="AD36:AZ36"/>
    <mergeCell ref="S37:T37"/>
    <mergeCell ref="V37:AB37"/>
    <mergeCell ref="AD37:AZ37"/>
    <mergeCell ref="S33:T33"/>
    <mergeCell ref="V33:AB33"/>
    <mergeCell ref="AD33:AZ33"/>
    <mergeCell ref="S34:T34"/>
    <mergeCell ref="V34:AB34"/>
    <mergeCell ref="AD34:AZ34"/>
    <mergeCell ref="S28:AZ28"/>
    <mergeCell ref="S29:AZ29"/>
    <mergeCell ref="S31:T31"/>
    <mergeCell ref="V31:AB31"/>
    <mergeCell ref="AD31:AZ31"/>
    <mergeCell ref="S32:T32"/>
    <mergeCell ref="V32:AB32"/>
    <mergeCell ref="AD32:AZ32"/>
    <mergeCell ref="AL8:AL10"/>
    <mergeCell ref="AM8:AM9"/>
    <mergeCell ref="AN8:AN9"/>
    <mergeCell ref="AO8:AO9"/>
    <mergeCell ref="AP8:AP9"/>
    <mergeCell ref="BC8:BC13"/>
    <mergeCell ref="AF8:AF11"/>
    <mergeCell ref="AG8:AG11"/>
    <mergeCell ref="AH8:AH11"/>
    <mergeCell ref="AI8:AI10"/>
    <mergeCell ref="AJ8:AJ10"/>
    <mergeCell ref="AK8:AK10"/>
    <mergeCell ref="K8:K12"/>
    <mergeCell ref="R8:R12"/>
    <mergeCell ref="S8:S12"/>
    <mergeCell ref="T8:T12"/>
    <mergeCell ref="AD8:AD12"/>
    <mergeCell ref="AE8:AE11"/>
    <mergeCell ref="E2:E18"/>
    <mergeCell ref="V2:AC2"/>
    <mergeCell ref="AD2:BB2"/>
    <mergeCell ref="F3:F17"/>
    <mergeCell ref="V3:AC3"/>
    <mergeCell ref="AD3:BB3"/>
    <mergeCell ref="G4:G16"/>
    <mergeCell ref="V4:AC4"/>
    <mergeCell ref="AD4:BB4"/>
    <mergeCell ref="H5:H15"/>
    <mergeCell ref="V5:AC5"/>
    <mergeCell ref="AD5:BB5"/>
    <mergeCell ref="I6:I14"/>
    <mergeCell ref="P6:P14"/>
    <mergeCell ref="V6:AC6"/>
    <mergeCell ref="AD6:BB6"/>
    <mergeCell ref="J7:J13"/>
    <mergeCell ref="Q7:Q13"/>
    <mergeCell ref="V7:AC7"/>
    <mergeCell ref="AD7:BB7"/>
  </mergeCells>
  <dataValidations count="9">
    <dataValidation type="list" allowBlank="1" showInputMessage="1" showErrorMessage="1" errorTitle="Ошибка" error="Выберите значение из списка" sqref="T65589 T131125 T196661 T262197 T327733 T393269 T458805 T524341 T589877 T655413 T720949 T786485 T852021 T917557 T983093">
      <formula1>kind_of_heat_transfer</formula1>
    </dataValidation>
    <dataValidation type="list" allowBlank="1" showInputMessage="1" showErrorMessage="1" errorTitle="Ошибка" error="Выберите значение из списка" sqref="AD917555:AS917555 AD983091:AS983091 AD65587:AS65587 AD131123:AS131123 AD196659:AS196659 AD262195:AS262195 AD327731:AS327731 AD393267:AS393267 AD458803:AS458803 AD524339:AS524339 AD589875:AS589875 AD655411:AS655411 AD720947:AS720947 AD786483:AS786483 AD852019:AS852019">
      <formula1>kind_of_scheme_in</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9 Z131125 Z196661 Z262197 Z327733 Z393269 Z458805 Z524341 Z589877 Z655413 Z720949 Z786485 Z852021 Z917557 Z983093 AB65589 AB131125 AB196661 AB262197 AB327733 AB393269 AB458805 AB524341 AB589877 AB655413 AB720949 AB786485 AB852021 AB917557 AB983093 Z8 AB8 AX65589 AX131125 AX196661 AX262197 AX327733 AX393269 AX458805 AX524341 AX589877 AX655413 AX720949 AX786485 AX852021 AX917557 AX983093 AZ65589 AZ131125 AZ196661 AZ262197 AZ327733 AZ393269 AZ458805 AZ524341 AZ589877 AZ655413 AZ720949 AZ786485 AZ852021 AZ917557 AZ983093 AX52 AX20 AZ8 AZ52 AX8 AZ20 Z52 AB52"/>
    <dataValidation allowBlank="1" promptTitle="checkPeriodRange" sqref="W131126 W196662 W262198 W327734 W393270 W458806 W524342 W589878 W655414 W720950 W786486 W852022 W917558 W983094 AW56 AU12 BB12 AW65590 AW131126 AW196662 AW262198 AW327734 AW393270 AW458806 AW524342 AW589878 AW655414 AW720950 AW786486 AW852022 AW917558 AW983094 Y65590 Y56 W65590 Y131126 Y196662 Y262198 Y327734 Y393270 Y458806 Y524342 Y589878 Y655414 Y720950 Y786486 Y852022 Y917558 Y983094 AU56 Y12 BB56 W12 AW12 W56"/>
    <dataValidation type="textLength" operator="lessThanOrEqual" allowBlank="1" showInputMessage="1" showErrorMessage="1" errorTitle="Ошибка" error="Допускается ввод не более 900 символов!" sqref="BC65583:BC65590 BC131119:BC131126 BC196655:BC196662 BC262191:BC262198 BC327727:BC327734 BC393263:BC393270 BC458799:BC458806 BC524335:BC524342 BC589871:BC589878 BC655407:BC655414 BC720943:BC720950 BC786479:BC786486 BC852015:BC852022 BC917551:BC917558 BC983087:BC983094 AS8 T8:T12 AS52 T52:T56">
      <formula1>900</formula1>
    </dataValidation>
    <dataValidation allowBlank="1" showInputMessage="1" showErrorMessage="1" prompt="Для выбора выполните двойной щелчок левой клавиши мыши по соответствующей ячейке." sqref="AA65589 AA131125 AA196661 AA262197 AA327733 AA393269 AA458805 AA524341 AA589877 AA655413 AA720949 AA786485 AA852021 AA917557 AA983093 AC131125 AC458805 AC196661 AC262197 AC327733 AC393269 AC524341 AC589877 AC655413 AC720949 AC786485 AC852021 AC917557 AC983093 AC65589 AH52:AH53 AY8 AP52 AK52:AL53 AA8 AY65589 AY131125 AY196661 AY262197 AY327733 AY393269 AY458805 AY524341 AY589877 AY655413 AY720949 AY786485 AY852021 AY917557 AY983093 BA458805 BA196661 BA262197 BA327733 BA393269 BA524341 BA589877 BA655413 BA720949 BA786485 BA852021 BA917557 BA983093 BA65589 BA52 AC8:AD8 BA20 BA8 AY52 AK8:AL9 AD20 AG20:AH20 AK20:AL20 AP20 AY20 AH8:AH9 AP8 BA131125 AC52:AD52 AA52"/>
    <dataValidation type="decimal" allowBlank="1" showErrorMessage="1" errorTitle="Ошибка" error="Допускается ввод только действительных чисел!" sqref="AO52:AO53 AG8:AG11 AO8:AO9 AG52:AG55">
      <formula1>-9.99999999999999E+23</formula1>
      <formula2>9.99999999999999E+23</formula2>
    </dataValidation>
    <dataValidation type="list" allowBlank="1" showInputMessage="1" errorTitle="Ошибка" error="Выберите значение из списка" prompt="Выберите значение из списка" sqref="V983092:BB983092 V917556:BB917556 V852020:BB852020 V786484:BB786484 V720948:BB720948 V655412:BB655412 V589876:BB589876 V524340:BB524340 V458804:BB458804 V393268:BB393268 V327732:BB327732 V262196:BB262196 V196660:BB196660 V131124:BB131124 V65588:BB65588">
      <formula1>kind_of_cons</formula1>
    </dataValidation>
    <dataValidation allowBlank="1" sqref="S65591:BC65597 S983095:BC983101 S917559:BC917565 S852023:BC852029 S786487:BC786493 S720951:BC720957 S655415:BC655421 S589879:BC589885 S524343:BC524349 S458807:BC458813 S393271:BC393277 S327735:BC327741 S262199:BC262205 S196663:BC196669 S131127:BC131133"/>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35D10E2-769D-1647-C503-AAEDF48DDBFC}" mc:Ignorable="x14ac xr xr2 xr3">
  <sheetPr>
    <tabColor rgb="FFCCCCFF"/>
    <pageSetUpPr fitToPage="1"/>
  </sheetPr>
  <dimension ref="A1:AC29"/>
  <sheetViews>
    <sheetView showGridLines="0" zoomScale="90" workbookViewId="0">
      <pane xSplit="6" ySplit="11" topLeftCell="G12" activePane="bottomRight" state="frozen"/>
      <selection pane="bottomLeft" activeCell="A12" sqref="A12"/>
      <selection pane="topRight" activeCell="G1" sqref="G1"/>
      <selection pane="bottomRight" activeCell="G13" sqref="G13"/>
    </sheetView>
  </sheetViews>
  <sheetFormatPr defaultColWidth="9.140625" customHeight="1" defaultRowHeight="14.25"/>
  <cols>
    <col min="1" max="1" style="1635" width="8.00390625" hidden="1" customWidth="1"/>
    <col min="2" max="2" style="1366" width="6.00390625" hidden="1" customWidth="1"/>
    <col min="3" max="3" style="1635" width="3.00390625" customWidth="1"/>
    <col min="4" max="4" style="1842" width="3.00390625" customWidth="1"/>
    <col min="5" max="5" style="1635" width="6.00390625" customWidth="1"/>
    <col min="6" max="6" style="1635" width="2.7109375" hidden="1" customWidth="1"/>
    <col min="7" max="7" style="1635" width="46.7109375" customWidth="1"/>
    <col min="8" max="8" style="1635" width="42.00390625" customWidth="1"/>
    <col min="9" max="9" style="1635" width="14.00390625" customWidth="1"/>
    <col min="10" max="10" style="1624" width="3.00390625" customWidth="1"/>
    <col min="11" max="13" style="1624" width="9.140625" hidden="1"/>
    <col min="14" max="14" style="1624" width="25.7109375" hidden="1" customWidth="1"/>
    <col min="15" max="15" style="1624" width="14.421875" hidden="1" customWidth="1"/>
    <col min="16" max="19" style="225" width="9.140625" hidden="1"/>
    <col min="20" max="27" style="1635" width="9.140625" hidden="1"/>
    <col min="28" max="28" style="1635" width="8.00390625" customWidth="1"/>
    <col min="29" max="29" style="1635" width="9.140625" hidden="1"/>
  </cols>
  <sheetData>
    <row s="1642" customFormat="1" customHeight="1" ht="5.25" hidden="1">
      <c r="A1" s="496"/>
      <c r="B1" s="511"/>
      <c r="C1" s="511"/>
      <c r="D1" s="221"/>
      <c r="F1" s="511"/>
      <c r="G1" s="247" t="s">
        <v>83</v>
      </c>
      <c r="H1" s="494" t="s">
        <v>84</v>
      </c>
      <c r="I1" s="227" t="s">
        <v>85</v>
      </c>
      <c r="J1" s="247" t="s">
        <v>83</v>
      </c>
      <c r="K1" s="247"/>
      <c r="L1" s="247"/>
      <c r="M1" s="247"/>
      <c r="N1" s="248"/>
      <c r="O1" s="247"/>
      <c r="P1" s="247"/>
      <c r="Q1" s="247"/>
      <c r="R1" s="247"/>
      <c r="S1" s="247"/>
      <c r="T1" s="227"/>
      <c r="U1" s="227"/>
      <c r="V1" s="227"/>
      <c r="W1" s="227"/>
      <c r="X1" s="227"/>
      <c r="Y1" s="227"/>
      <c r="Z1" s="227"/>
      <c r="AA1" s="227"/>
      <c r="AB1" s="227"/>
      <c r="AC1" s="152" t="s">
        <v>14</v>
      </c>
    </row>
    <row s="1412" customFormat="1" customHeight="1" ht="11.25">
      <c r="A2" s="831"/>
      <c r="B2" s="228"/>
      <c r="C2" s="228"/>
      <c r="D2" s="229"/>
      <c r="E2" s="228"/>
      <c r="F2" s="228"/>
      <c r="G2" s="228"/>
      <c r="H2" s="228"/>
      <c r="I2" s="228"/>
      <c r="J2" s="247"/>
      <c r="K2" s="247"/>
      <c r="L2" s="247"/>
      <c r="M2" s="247"/>
      <c r="N2" s="248"/>
      <c r="O2" s="247"/>
      <c r="P2" s="230"/>
      <c r="Q2" s="230"/>
      <c r="R2" s="230"/>
      <c r="S2" s="230"/>
      <c r="T2" s="229"/>
      <c r="U2" s="229"/>
      <c r="V2" s="229"/>
      <c r="W2" s="229"/>
      <c r="X2" s="229"/>
      <c r="Y2" s="229"/>
      <c r="Z2" s="229"/>
      <c r="AA2" s="229"/>
      <c r="AB2" s="229"/>
      <c r="AC2" s="231">
        <v>11</v>
      </c>
    </row>
    <row s="1819" customFormat="1" customHeight="1" ht="3">
      <c r="A3" s="758"/>
      <c r="B3" s="417"/>
      <c r="C3" s="758"/>
      <c r="D3" s="164"/>
      <c r="E3" s="103"/>
      <c r="F3" s="509"/>
      <c r="G3" s="103"/>
      <c r="H3" s="103"/>
      <c r="I3" s="166"/>
      <c r="J3" s="247"/>
      <c r="K3" s="155"/>
      <c r="L3" s="155"/>
      <c r="M3" s="155"/>
      <c r="N3" s="226"/>
      <c r="O3" s="155"/>
      <c r="P3" s="225"/>
      <c r="Q3" s="225"/>
      <c r="R3" s="225"/>
      <c r="S3" s="225"/>
      <c r="AC3" s="116">
        <v>3</v>
      </c>
    </row>
    <row s="1819" customFormat="1" customHeight="1" ht="27.299999999999997">
      <c r="A4" s="758"/>
      <c r="B4" s="417"/>
      <c r="C4" s="758"/>
      <c r="D4" s="164"/>
      <c r="E4" s="2100" t="str">
        <f>NameTemplatesInListMO</f>
        <v>Перечень муниципальных районов и муниципальных образований (территорий действия тарифа)</v>
      </c>
      <c r="F4" s="2100"/>
      <c r="G4" s="2100"/>
      <c r="H4" s="2100"/>
      <c r="I4" s="2100"/>
      <c r="J4" s="247"/>
      <c r="K4" s="155"/>
      <c r="L4" s="155"/>
      <c r="M4" s="155"/>
      <c r="N4" s="226"/>
      <c r="O4" s="155"/>
      <c r="P4" s="225"/>
      <c r="Q4" s="225"/>
      <c r="R4" s="225"/>
      <c r="S4" s="225"/>
      <c r="AC4" s="116">
        <v>26</v>
      </c>
    </row>
    <row s="1819" customFormat="1" customHeight="1" ht="3">
      <c r="A5" s="758"/>
      <c r="B5" s="417"/>
      <c r="C5" s="758"/>
      <c r="D5" s="164"/>
      <c r="E5" s="103"/>
      <c r="F5" s="509"/>
      <c r="G5" s="167"/>
      <c r="H5" s="167"/>
      <c r="I5" s="168"/>
      <c r="J5" s="155"/>
      <c r="K5" s="155"/>
      <c r="L5" s="155"/>
      <c r="M5" s="155"/>
      <c r="N5" s="226"/>
      <c r="O5" s="155"/>
      <c r="P5" s="225"/>
      <c r="Q5" s="225"/>
      <c r="R5" s="225"/>
      <c r="S5" s="225"/>
      <c r="AC5" s="116">
        <v>3</v>
      </c>
    </row>
    <row s="1819" customFormat="1" customHeight="1" ht="20.25" hidden="1">
      <c r="A6" s="837"/>
      <c r="B6" s="833"/>
      <c r="C6" s="169"/>
      <c r="D6" s="164"/>
      <c r="E6" s="779"/>
      <c r="F6" s="779"/>
      <c r="G6" s="167"/>
      <c r="H6" s="170"/>
      <c r="I6" s="170"/>
      <c r="J6" s="155"/>
      <c r="K6" s="155"/>
      <c r="L6" s="155"/>
      <c r="M6" s="155"/>
      <c r="N6" s="226"/>
      <c r="O6" s="155"/>
      <c r="P6" s="225"/>
      <c r="Q6" s="225"/>
      <c r="R6" s="225"/>
      <c r="S6" s="225"/>
      <c r="AC6" s="116">
        <v>0</v>
      </c>
    </row>
    <row customHeight="1" ht="25.5" hidden="1">
      <c r="AC7" s="83">
        <v>0</v>
      </c>
    </row>
    <row s="1819" customFormat="1" customHeight="1" ht="14.699999999999998">
      <c r="A8" s="758"/>
      <c r="B8" s="417"/>
      <c r="C8" s="758"/>
      <c r="D8" s="164"/>
      <c r="E8" s="2101" t="s">
        <v>86</v>
      </c>
      <c r="F8" s="2102"/>
      <c r="G8" s="2103"/>
      <c r="H8" s="2104" t="s">
        <v>87</v>
      </c>
      <c r="I8" s="2104"/>
      <c r="J8" s="155"/>
      <c r="K8" s="155"/>
      <c r="L8" s="155"/>
      <c r="M8" s="155"/>
      <c r="N8" s="226"/>
      <c r="O8" s="155"/>
      <c r="P8" s="225"/>
      <c r="Q8" s="225"/>
      <c r="R8" s="225"/>
      <c r="S8" s="225"/>
      <c r="AC8" s="116">
        <v>14</v>
      </c>
    </row>
    <row s="1819" customFormat="1" customHeight="1" ht="21">
      <c r="A9" s="758"/>
      <c r="B9" s="417"/>
      <c r="C9" s="758"/>
      <c r="D9" s="164"/>
      <c r="E9" s="777" t="s">
        <v>88</v>
      </c>
      <c r="F9" s="777"/>
      <c r="G9" s="172" t="s">
        <v>89</v>
      </c>
      <c r="H9" s="172" t="s">
        <v>89</v>
      </c>
      <c r="I9" s="172" t="s">
        <v>85</v>
      </c>
      <c r="J9" s="155"/>
      <c r="K9" s="155"/>
      <c r="L9" s="155"/>
      <c r="M9" s="155"/>
      <c r="N9" s="226"/>
      <c r="O9" s="155"/>
      <c r="P9" s="225"/>
      <c r="Q9" s="225"/>
      <c r="R9" s="225"/>
      <c r="S9" s="225"/>
      <c r="AC9" s="116">
        <v>20</v>
      </c>
    </row>
    <row customHeight="1" ht="11.549999999999999">
      <c r="D10" s="176"/>
      <c r="E10" s="778" t="s">
        <v>90</v>
      </c>
      <c r="F10" s="778"/>
      <c r="G10" s="223" t="s">
        <v>91</v>
      </c>
      <c r="H10" s="223" t="s">
        <v>92</v>
      </c>
      <c r="I10" s="223" t="s">
        <v>93</v>
      </c>
      <c r="J10" s="186"/>
      <c r="K10" s="186"/>
      <c r="L10" s="186"/>
      <c r="M10" s="186"/>
      <c r="N10" s="171"/>
      <c r="O10" s="186"/>
      <c r="P10" s="224"/>
      <c r="Q10" s="224"/>
      <c r="R10" s="224"/>
      <c r="S10" s="224"/>
      <c r="AC10" s="83">
        <v>11</v>
      </c>
    </row>
    <row s="1819" customFormat="1" customHeight="1" ht="1.05">
      <c r="A11" s="758"/>
      <c r="B11" s="417"/>
      <c r="C11" s="758"/>
      <c r="D11" s="164"/>
      <c r="E11" s="790"/>
      <c r="F11" s="790"/>
      <c r="G11" s="173"/>
      <c r="H11" s="173"/>
      <c r="I11" s="175"/>
      <c r="J11" s="249" t="s">
        <v>94</v>
      </c>
      <c r="K11" s="155"/>
      <c r="L11" s="155"/>
      <c r="M11" s="155" t="s">
        <v>95</v>
      </c>
      <c r="N11" s="226" t="s">
        <v>96</v>
      </c>
      <c r="O11" s="155" t="s">
        <v>97</v>
      </c>
      <c r="P11" s="225"/>
      <c r="Q11" s="225"/>
      <c r="R11" s="225"/>
      <c r="S11" s="225"/>
      <c r="AC11" s="116">
        <v>1</v>
      </c>
    </row>
    <row s="1819" customFormat="1" customHeight="1" ht="15">
      <c r="A12" s="2099">
        <v>1</v>
      </c>
      <c r="B12" s="417"/>
      <c r="C12" s="758"/>
      <c r="D12" s="782"/>
      <c r="E12" s="219">
        <f>A12</f>
        <v>1</v>
      </c>
      <c r="F12" s="802" t="s">
        <v>98</v>
      </c>
      <c r="G12" s="540" t="str">
        <f>"Территория "&amp;E12</f>
        <v>Территория 1</v>
      </c>
      <c r="H12" s="792"/>
      <c r="I12" s="792"/>
      <c r="J12" s="789"/>
      <c r="K12" s="500"/>
      <c r="L12" s="500"/>
      <c r="M12" s="500"/>
      <c r="N12" s="226"/>
      <c r="O12" s="500"/>
      <c r="P12" s="225"/>
      <c r="Q12" s="225"/>
      <c r="R12" s="225"/>
      <c r="S12" s="225"/>
      <c r="AC12" s="507">
        <v>14</v>
      </c>
    </row>
    <row s="1850" customFormat="1" customHeight="1" ht="15.75">
      <c r="A13" s="2099"/>
      <c r="B13" s="417">
        <v>1</v>
      </c>
      <c r="C13" s="417"/>
      <c r="D13" s="800"/>
      <c r="E13" s="780" t="str">
        <f>A12&amp;"."&amp;B13</f>
        <v>1.1</v>
      </c>
      <c r="F13" s="795" t="s">
        <v>99</v>
      </c>
      <c r="G13" s="793" t="s">
        <v>100</v>
      </c>
      <c r="H13" s="793" t="s">
        <v>100</v>
      </c>
      <c r="I13" s="791" t="s">
        <v>101</v>
      </c>
      <c r="J13" s="500">
        <f>MERGEVALUE(G13)</f>
      </c>
      <c r="K13" s="511"/>
      <c r="L13" s="511"/>
      <c r="M13" s="500" t="str">
        <f t="array" ref="M13:M13">IF(ISERROR(MATCH(MID(N13,1,250),MID(note_ter,1,250),0)),"n","y")</f>
        <v>n</v>
      </c>
      <c r="N13" s="511"/>
      <c r="O13" s="500" t="str">
        <f>H13&amp;"("&amp;I13&amp;")"</f>
        <v>Кадуйский муниципальный округ(19526000)</v>
      </c>
      <c r="P13" s="417"/>
      <c r="Q13" s="417"/>
      <c r="R13" s="420"/>
      <c r="S13" s="417"/>
      <c r="T13" s="417"/>
      <c r="U13" s="417"/>
      <c r="V13" s="422"/>
      <c r="W13" s="422"/>
      <c r="X13" s="419"/>
      <c r="Y13" s="419"/>
      <c r="Z13" s="419"/>
      <c r="AA13" s="419"/>
      <c r="AB13" s="419"/>
      <c r="AC13" s="423">
        <v>15</v>
      </c>
    </row>
    <row s="1850" customFormat="1" customHeight="1" ht="15.75">
      <c r="A14" s="2099"/>
      <c r="B14" s="417"/>
      <c r="C14" s="412"/>
      <c r="D14" s="801"/>
      <c r="E14" s="421"/>
      <c r="F14" s="177"/>
      <c r="G14" s="415" t="s">
        <v>102</v>
      </c>
      <c r="H14" s="187"/>
      <c r="I14" s="424"/>
      <c r="J14" s="511"/>
      <c r="K14" s="511"/>
      <c r="L14" s="511"/>
      <c r="M14" s="511"/>
      <c r="N14" s="500"/>
      <c r="O14" s="511"/>
      <c r="P14" s="417"/>
      <c r="Q14" s="417"/>
      <c r="R14" s="420"/>
      <c r="S14" s="417"/>
      <c r="T14" s="417"/>
      <c r="U14" s="417"/>
      <c r="V14" s="422"/>
      <c r="W14" s="422"/>
      <c r="X14" s="419"/>
      <c r="Y14" s="419"/>
      <c r="Z14" s="419"/>
      <c r="AA14" s="419"/>
      <c r="AB14" s="419"/>
      <c r="AC14" s="423">
        <v>15</v>
      </c>
    </row>
    <row s="1819" customFormat="1" customHeight="1" ht="14.699999999999998">
      <c r="A15" s="758"/>
      <c r="B15" s="417"/>
      <c r="C15" s="758"/>
      <c r="D15" s="782"/>
      <c r="E15" s="794"/>
      <c r="F15" s="178"/>
      <c r="G15" s="416" t="s">
        <v>103</v>
      </c>
      <c r="H15" s="178"/>
      <c r="I15" s="179"/>
      <c r="J15" s="249"/>
      <c r="K15" s="155"/>
      <c r="L15" s="155"/>
      <c r="M15" s="155"/>
      <c r="N15" s="226" t="s">
        <v>104</v>
      </c>
      <c r="O15" s="155"/>
      <c r="P15" s="225"/>
      <c r="Q15" s="225"/>
      <c r="R15" s="225"/>
      <c r="S15" s="225"/>
      <c r="AC15" s="116">
        <v>14</v>
      </c>
    </row>
    <row s="1819" customFormat="1" customHeight="1" ht="22.049999999999997">
      <c r="A16" s="758"/>
      <c r="B16" s="417"/>
      <c r="C16" s="758"/>
      <c r="D16" s="165"/>
      <c r="E16" s="180"/>
      <c r="F16" s="180"/>
      <c r="G16" s="180"/>
      <c r="H16" s="180"/>
      <c r="I16" s="180"/>
      <c r="J16" s="155"/>
      <c r="K16" s="155"/>
      <c r="L16" s="155"/>
      <c r="M16" s="155"/>
      <c r="N16" s="226"/>
      <c r="O16" s="155"/>
      <c r="P16" s="225"/>
      <c r="Q16" s="225"/>
      <c r="R16" s="225"/>
      <c r="S16" s="225"/>
      <c r="AC16" s="116">
        <v>21</v>
      </c>
    </row>
    <row s="1819" customFormat="1" customHeight="1" ht="14.699999999999998">
      <c r="A17" s="758"/>
      <c r="B17" s="417"/>
      <c r="C17" s="758"/>
      <c r="D17" s="165"/>
      <c r="E17" s="83"/>
      <c r="F17" s="758"/>
      <c r="G17" s="83"/>
      <c r="H17" s="83"/>
      <c r="I17" s="83"/>
      <c r="J17" s="155"/>
      <c r="K17" s="155"/>
      <c r="L17" s="155"/>
      <c r="M17" s="155"/>
      <c r="N17" s="226"/>
      <c r="O17" s="155"/>
      <c r="P17" s="225"/>
      <c r="Q17" s="225"/>
      <c r="R17" s="225"/>
      <c r="S17" s="225"/>
      <c r="AC17" s="116">
        <v>14</v>
      </c>
    </row>
    <row s="1819" customFormat="1" customHeight="1" ht="1.05">
      <c r="A18" s="758"/>
      <c r="B18" s="417"/>
      <c r="C18" s="758"/>
      <c r="D18" s="165"/>
      <c r="E18" s="83"/>
      <c r="F18" s="758"/>
      <c r="G18" s="83"/>
      <c r="H18" s="83"/>
      <c r="I18" s="83"/>
      <c r="J18" s="155"/>
      <c r="K18" s="155"/>
      <c r="L18" s="155"/>
      <c r="M18" s="155"/>
      <c r="N18" s="226"/>
      <c r="O18" s="155"/>
      <c r="P18" s="225"/>
      <c r="Q18" s="225"/>
      <c r="R18" s="225"/>
      <c r="S18" s="225"/>
      <c r="AC18" s="116">
        <v>1</v>
      </c>
    </row>
    <row s="1064" customFormat="1" customHeight="1" ht="10.5">
      <c r="B19" s="834"/>
      <c r="D19" s="182"/>
      <c r="J19" s="155"/>
      <c r="K19" s="155"/>
      <c r="L19" s="155"/>
      <c r="M19" s="155"/>
      <c r="N19" s="226"/>
      <c r="O19" s="155"/>
      <c r="P19" s="225"/>
      <c r="Q19" s="225"/>
      <c r="R19" s="225"/>
      <c r="S19" s="225"/>
      <c r="AC19" s="181">
        <v>10</v>
      </c>
    </row>
    <row s="1064" customFormat="1" customHeight="1" ht="10.5">
      <c r="B20" s="834"/>
      <c r="D20" s="182"/>
      <c r="J20" s="155"/>
      <c r="K20" s="155"/>
      <c r="L20" s="155"/>
      <c r="M20" s="155"/>
      <c r="N20" s="226"/>
      <c r="O20" s="155"/>
      <c r="P20" s="225"/>
      <c r="Q20" s="225"/>
      <c r="R20" s="225"/>
      <c r="S20" s="225"/>
      <c r="AC20" s="181">
        <v>10</v>
      </c>
    </row>
    <row customHeight="1" ht="14.699999999999998">
      <c r="AC21" s="83">
        <v>14</v>
      </c>
    </row>
    <row customHeight="1" ht="14.699999999999998">
      <c r="AC22" s="83">
        <v>14</v>
      </c>
    </row>
    <row customHeight="1" ht="14.699999999999998">
      <c r="AC23" s="83">
        <v>14</v>
      </c>
    </row>
    <row customHeight="1" ht="14.699999999999998">
      <c r="H24" s="64"/>
      <c r="AC24" s="83">
        <v>14</v>
      </c>
    </row>
    <row customHeight="1" ht="14.699999999999998">
      <c r="AC25" s="83">
        <v>14</v>
      </c>
    </row>
    <row customHeight="1" ht="14.699999999999998">
      <c r="AC26" s="83">
        <v>14</v>
      </c>
    </row>
    <row customHeight="1" ht="14.699999999999998">
      <c r="AC27" s="83">
        <v>14</v>
      </c>
    </row>
    <row customHeight="1" ht="14.699999999999998">
      <c r="J28" s="83"/>
      <c r="K28" s="83"/>
      <c r="L28" s="83"/>
      <c r="AC28" s="83">
        <v>14</v>
      </c>
    </row>
    <row customHeight="1" ht="22.5" hidden="1">
      <c r="A29" s="758" t="s">
        <v>82</v>
      </c>
      <c r="B29" s="417">
        <v>0</v>
      </c>
      <c r="C29" s="758">
        <v>3</v>
      </c>
      <c r="D29" s="165">
        <v>3</v>
      </c>
      <c r="E29" s="83">
        <v>6</v>
      </c>
      <c r="F29" s="758">
        <v>0</v>
      </c>
      <c r="G29" s="83">
        <v>46</v>
      </c>
      <c r="H29" s="83">
        <v>42</v>
      </c>
      <c r="I29" s="83">
        <v>14</v>
      </c>
      <c r="J29" s="155">
        <v>3</v>
      </c>
      <c r="K29" s="155">
        <v>0</v>
      </c>
      <c r="L29" s="155">
        <v>0</v>
      </c>
      <c r="M29" s="155">
        <v>0</v>
      </c>
      <c r="N29" s="226">
        <v>0</v>
      </c>
      <c r="O29" s="155">
        <v>0</v>
      </c>
      <c r="P29" s="225">
        <v>0</v>
      </c>
      <c r="Q29" s="225">
        <v>0</v>
      </c>
      <c r="R29" s="225">
        <v>0</v>
      </c>
      <c r="S29" s="225">
        <v>0</v>
      </c>
      <c r="T29" s="83">
        <v>0</v>
      </c>
      <c r="U29" s="83">
        <v>0</v>
      </c>
      <c r="V29" s="83">
        <v>0</v>
      </c>
      <c r="W29" s="83">
        <v>0</v>
      </c>
      <c r="X29" s="83">
        <v>0</v>
      </c>
      <c r="Y29" s="83">
        <v>0</v>
      </c>
      <c r="Z29" s="83">
        <v>0</v>
      </c>
      <c r="AA29" s="83">
        <v>0</v>
      </c>
      <c r="AB29" s="83">
        <v>8</v>
      </c>
      <c r="AC29" s="83">
        <v>23</v>
      </c>
    </row>
  </sheetData>
  <sheetProtection formatColumns="0" formatRows="0" autoFilter="0" sort="0" insertRows="0" insertColumns="1" deleteRows="0" deleteColumns="0"/>
  <mergeCells count="4">
    <mergeCell ref="A12:A14"/>
    <mergeCell ref="E4:I4"/>
    <mergeCell ref="E8:G8"/>
    <mergeCell ref="H8:I8"/>
  </mergeCells>
  <dataValidations count="1">
    <dataValidation type="textLength" operator="lessThanOrEqual" allowBlank="1" showInputMessage="1" showErrorMessage="1" errorTitle="Ошибка" error="Допускается ввод не более 900 символов!" sqref="G12">
      <formula1>900</formula1>
    </dataValidation>
  </dataValidations>
  <printOptions horizontalCentered="1" verticalCentered="1"/>
  <pageMargins left="0.00" right="0.00" top="0.00" bottom="0.00" header="0.00" footer="0.79"/>
  <pageSetup paperSize="9" scale="93" fitToHeight="0" pageOrder="downThenOver" orientation="portrait" blackAndWhite="1"/>
  <headerFooter>
    <oddHeader>&amp;L&amp;C&amp;R</oddHeader>
    <oddFooter>&amp;L&amp;C&amp;R</oddFooter>
    <evenHeader>&amp;L&amp;C&amp;R</evenHeader>
    <evenFooter>&amp;L&amp;C&amp;R</evenFooter>
  </headerFooter>
  <drawing r:id="rId1"/>
</worksheet>
</file>

<file path=xl/worksheets/sheet3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E2F3608-22C9-18B6-65AB-23E73D2F0013}" mc:Ignorable="x14ac xr xr2 xr3">
  <sheetPr>
    <tabColor theme="6" tint="0.4"/>
  </sheetPr>
  <dimension ref="A1:AY59"/>
  <sheetViews>
    <sheetView showGridLines="0" zoomScale="90" workbookViewId="0">
      <pane xSplit="32" ySplit="41" topLeftCell="AG42" activePane="bottomRight" state="frozen"/>
      <selection pane="bottomLeft" activeCell="A42" sqref="A42"/>
      <selection pane="topRight" activeCell="AG1" sqref="AG1"/>
      <selection pane="bottomRight" activeCell="A1" sqref="A1"/>
    </sheetView>
  </sheetViews>
  <sheetFormatPr defaultColWidth="10.57421875" customHeight="1" defaultRowHeight="14.25"/>
  <cols>
    <col min="1" max="1" style="1366" width="10.57421875" hidden="1"/>
    <col min="2" max="2" style="1366" width="11.00390625" hidden="1" customWidth="1"/>
    <col min="3" max="3" style="1366" width="10.57421875" hidden="1"/>
    <col min="4" max="4" style="1366" width="11.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4.140625" hidden="1" customWidth="1"/>
    <col min="10" max="10" style="1366" width="9.8515625" hidden="1" customWidth="1"/>
    <col min="11" max="11" style="1366" width="14.7109375" hidden="1" customWidth="1"/>
    <col min="12" max="12" style="2607" width="19.140625" hidden="1" customWidth="1"/>
    <col min="13" max="14" style="1776" width="12.28125" hidden="1" customWidth="1"/>
    <col min="15" max="15" style="1776" width="23.421875" hidden="1" customWidth="1"/>
    <col min="16" max="16" style="2397" width="3.00390625" customWidth="1"/>
    <col min="17" max="18" style="344" width="3.00390625" customWidth="1"/>
    <col min="19" max="19" style="2407" width="12.00390625" customWidth="1"/>
    <col min="20" max="20" style="1635" width="35.00390625" customWidth="1"/>
    <col min="21" max="21" style="1635" width="0.140625" customWidth="1"/>
    <col min="22" max="28" style="1635" width="19.7109375" hidden="1" customWidth="1"/>
    <col min="29" max="29" style="1635" width="11.7109375" hidden="1" customWidth="1"/>
    <col min="30" max="30" style="1635" width="3.7109375" hidden="1" customWidth="1"/>
    <col min="31" max="31" style="1635" width="11.7109375" hidden="1" customWidth="1"/>
    <col min="32" max="32" style="1635" width="8.57421875" hidden="1" customWidth="1"/>
    <col min="33" max="33" style="1635" width="19.7109375" customWidth="1"/>
    <col min="34" max="39" style="1635" width="19.00390625" customWidth="1"/>
    <col min="40" max="40" style="1635" width="11.00390625" customWidth="1"/>
    <col min="41" max="41" style="1635" width="3.7109375" customWidth="1"/>
    <col min="42" max="42" style="1635" width="11.00390625" customWidth="1"/>
    <col min="43" max="43" style="1635" width="8.57421875" hidden="1" customWidth="1"/>
    <col min="44" max="44" style="1635" width="4.00390625" customWidth="1"/>
    <col min="45" max="45" style="1635" width="115.00390625" customWidth="1"/>
    <col min="46" max="50" style="1642" width="10.00390625" customWidth="1"/>
    <col min="51" max="51" style="1635" width="10.57421875" hidden="1"/>
  </cols>
  <sheetData>
    <row customHeight="1" ht="22.5" hidden="1">
      <c r="AC1" s="327"/>
      <c r="AN1" s="327"/>
      <c r="AY1" s="1155" t="s">
        <v>14</v>
      </c>
    </row>
    <row customHeight="1" ht="23.25" hidden="1">
      <c r="A2" s="1363"/>
      <c r="B2" s="1363"/>
      <c r="C2" s="1363"/>
      <c r="D2" s="1363"/>
      <c r="E2" s="2258">
        <v>1</v>
      </c>
      <c r="F2" s="1363"/>
      <c r="G2" s="1363"/>
      <c r="H2" s="1363"/>
      <c r="I2" s="1363"/>
      <c r="J2" s="1363"/>
      <c r="K2" s="1363"/>
      <c r="L2" s="1364"/>
      <c r="M2" s="1365"/>
      <c r="N2" s="1365"/>
      <c r="O2" s="1365"/>
      <c r="P2" s="361"/>
      <c r="Q2" s="360"/>
      <c r="R2" s="355"/>
      <c r="S2" s="1493">
        <f>INDEX(PT_DIFFERENTIATION_NUM_NTAR,MATCH(A2,PT_DIFFERENTIATION_NTAR_ID,0))</f>
      </c>
      <c r="T2" s="298" t="s">
        <v>127</v>
      </c>
      <c r="U2" s="300"/>
      <c r="V2" s="2242"/>
      <c r="W2" s="2243"/>
      <c r="X2" s="2243"/>
      <c r="Y2" s="2243"/>
      <c r="Z2" s="2243"/>
      <c r="AA2" s="2243"/>
      <c r="AB2" s="2243"/>
      <c r="AC2" s="2243"/>
      <c r="AD2" s="2243"/>
      <c r="AE2" s="2243"/>
      <c r="AF2" s="2244"/>
      <c r="AG2" s="2242">
        <f>INDEX(PT_DIFFERENTIATION_NTAR,MATCH(A2,PT_DIFFERENTIATION_NTAR_ID,0))</f>
      </c>
      <c r="AH2" s="2243"/>
      <c r="AI2" s="2243"/>
      <c r="AJ2" s="2243"/>
      <c r="AK2" s="2243"/>
      <c r="AL2" s="2243"/>
      <c r="AM2" s="2243"/>
      <c r="AN2" s="2243"/>
      <c r="AO2" s="2243"/>
      <c r="AP2" s="2243"/>
      <c r="AQ2" s="2243"/>
      <c r="AR2" s="2244"/>
      <c r="AS2"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U2" s="500"/>
      <c r="AV2" s="500" t="str">
        <f>IF(T2="","",T2)</f>
        <v>Наименование тарифа</v>
      </c>
      <c r="AW2" s="500"/>
      <c r="AX2" s="500"/>
      <c r="AY2" s="1155">
        <v>0</v>
      </c>
    </row>
    <row customHeight="1" ht="23.25" hidden="1">
      <c r="A3" s="1363"/>
      <c r="B3" s="1363"/>
      <c r="C3" s="1363"/>
      <c r="D3" s="1363"/>
      <c r="E3" s="2259"/>
      <c r="F3" s="2258">
        <v>1</v>
      </c>
      <c r="G3" s="1363"/>
      <c r="H3" s="1363"/>
      <c r="I3" s="1363"/>
      <c r="J3" s="1363"/>
      <c r="K3" s="1363"/>
      <c r="L3" s="1364"/>
      <c r="M3" s="1365"/>
      <c r="N3" s="1365"/>
      <c r="O3" s="1365"/>
      <c r="P3" s="1487"/>
      <c r="Q3" s="352"/>
      <c r="R3" s="353"/>
      <c r="S3" s="1493">
        <f>INDEX(PT_DIFFERENTIATION_NUM_TER,MATCH(B3,PT_DIFFERENTIATION_TER_ID,0))</f>
      </c>
      <c r="T3" s="308" t="s">
        <v>399</v>
      </c>
      <c r="U3" s="300"/>
      <c r="V3" s="2242"/>
      <c r="W3" s="2243"/>
      <c r="X3" s="2243"/>
      <c r="Y3" s="2243"/>
      <c r="Z3" s="2243"/>
      <c r="AA3" s="2243"/>
      <c r="AB3" s="2243"/>
      <c r="AC3" s="2243"/>
      <c r="AD3" s="2243"/>
      <c r="AE3" s="2243"/>
      <c r="AF3" s="2244"/>
      <c r="AG3" s="2242">
        <f>INDEX(PT_DIFFERENTIATION_TER,MATCH(B3,PT_DIFFERENTIATION_TER_ID,0))</f>
      </c>
      <c r="AH3" s="2243"/>
      <c r="AI3" s="2243"/>
      <c r="AJ3" s="2243"/>
      <c r="AK3" s="2243"/>
      <c r="AL3" s="2243"/>
      <c r="AM3" s="2243"/>
      <c r="AN3" s="2243"/>
      <c r="AO3" s="2243"/>
      <c r="AP3" s="2243"/>
      <c r="AQ3" s="2243"/>
      <c r="AR3" s="2244"/>
      <c r="AS3" s="1258" t="s">
        <v>400</v>
      </c>
      <c r="AU3" s="500"/>
      <c r="AV3" s="500" t="str">
        <f>IF(T3="","",T3)</f>
        <v>Территория действия тарифа</v>
      </c>
      <c r="AW3" s="500"/>
      <c r="AX3" s="500"/>
      <c r="AY3" s="1155">
        <v>0</v>
      </c>
    </row>
    <row customHeight="1" ht="23.25" hidden="1">
      <c r="A4" s="1363"/>
      <c r="B4" s="1363"/>
      <c r="C4" s="1363"/>
      <c r="D4" s="1363"/>
      <c r="E4" s="2259"/>
      <c r="F4" s="2259"/>
      <c r="G4" s="2258">
        <v>1</v>
      </c>
      <c r="H4" s="1363"/>
      <c r="I4" s="1363"/>
      <c r="J4" s="1363"/>
      <c r="K4" s="1363"/>
      <c r="L4" s="1364"/>
      <c r="M4" s="1365"/>
      <c r="N4" s="1365"/>
      <c r="O4" s="1365"/>
      <c r="P4" s="354"/>
      <c r="Q4" s="352"/>
      <c r="R4" s="353"/>
      <c r="S4" s="1493">
        <f>INDEX(PT_DIFFERENTIATION_NUM_CS,MATCH(C4,PT_DIFFERENTIATION_CS_ID,0))</f>
      </c>
      <c r="T4" s="309" t="s">
        <v>532</v>
      </c>
      <c r="U4" s="300"/>
      <c r="V4" s="2242"/>
      <c r="W4" s="2243"/>
      <c r="X4" s="2243"/>
      <c r="Y4" s="2243"/>
      <c r="Z4" s="2243"/>
      <c r="AA4" s="2243"/>
      <c r="AB4" s="2243"/>
      <c r="AC4" s="2243"/>
      <c r="AD4" s="2243"/>
      <c r="AE4" s="2243"/>
      <c r="AF4" s="2244"/>
      <c r="AG4" s="2242">
        <f>INDEX(PT_DIFFERENTIATION_CS,MATCH(C4,PT_DIFFERENTIATION_CS_ID,0))</f>
      </c>
      <c r="AH4" s="2243"/>
      <c r="AI4" s="2243"/>
      <c r="AJ4" s="2243"/>
      <c r="AK4" s="2243"/>
      <c r="AL4" s="2243"/>
      <c r="AM4" s="2243"/>
      <c r="AN4" s="2243"/>
      <c r="AO4" s="2243"/>
      <c r="AP4" s="2243"/>
      <c r="AQ4" s="2243"/>
      <c r="AR4" s="2244"/>
      <c r="AS4" s="1258" t="s">
        <v>533</v>
      </c>
      <c r="AU4" s="500"/>
      <c r="AV4" s="500" t="str">
        <f>IF(T4="","",T4)</f>
        <v>Наименование централизованной системы горячего водоснабжения</v>
      </c>
      <c r="AW4" s="500"/>
      <c r="AX4" s="500"/>
      <c r="AY4" s="1155">
        <v>0</v>
      </c>
    </row>
    <row customHeight="1" ht="23.25" hidden="1">
      <c r="A5" s="1363"/>
      <c r="B5" s="1363"/>
      <c r="C5" s="1363"/>
      <c r="D5" s="1363"/>
      <c r="E5" s="2259"/>
      <c r="F5" s="2259"/>
      <c r="G5" s="2259"/>
      <c r="H5" s="2259"/>
      <c r="I5" s="2256">
        <f>S4&amp;".1"</f>
      </c>
      <c r="J5" s="1363"/>
      <c r="K5" s="1363"/>
      <c r="L5" s="1364"/>
      <c r="P5" s="2257">
        <v>1</v>
      </c>
      <c r="Q5" s="1481"/>
      <c r="R5" s="356"/>
      <c r="S5" s="1493">
        <f>$I5</f>
      </c>
      <c r="T5" s="285" t="s">
        <v>485</v>
      </c>
      <c r="U5" s="300"/>
      <c r="V5" s="2350"/>
      <c r="W5" s="2351"/>
      <c r="X5" s="2351"/>
      <c r="Y5" s="2351"/>
      <c r="Z5" s="2351"/>
      <c r="AA5" s="2351"/>
      <c r="AB5" s="2351"/>
      <c r="AC5" s="2351"/>
      <c r="AD5" s="2351"/>
      <c r="AE5" s="2351"/>
      <c r="AF5" s="2352"/>
      <c r="AG5" s="2353"/>
      <c r="AH5" s="2354"/>
      <c r="AI5" s="2354"/>
      <c r="AJ5" s="2354"/>
      <c r="AK5" s="2354"/>
      <c r="AL5" s="2354"/>
      <c r="AM5" s="2354"/>
      <c r="AN5" s="2354"/>
      <c r="AO5" s="2354"/>
      <c r="AP5" s="2354"/>
      <c r="AQ5" s="2354"/>
      <c r="AR5" s="2355"/>
      <c r="AS5" s="1258" t="s">
        <v>486</v>
      </c>
      <c r="AU5" s="500"/>
      <c r="AV5" s="500" t="str">
        <f>IF(T5="","",T5)</f>
        <v>Наименование признака дифференциации</v>
      </c>
      <c r="AW5" s="500"/>
      <c r="AX5" s="500"/>
      <c r="AY5" s="1155">
        <v>0</v>
      </c>
    </row>
    <row customHeight="1" ht="23.25" hidden="1">
      <c r="A6" s="1363"/>
      <c r="B6" s="1363"/>
      <c r="C6" s="1363"/>
      <c r="D6" s="1363"/>
      <c r="E6" s="2259"/>
      <c r="F6" s="2259"/>
      <c r="G6" s="2259"/>
      <c r="H6" s="2259"/>
      <c r="I6" s="2286"/>
      <c r="J6" s="2256">
        <f>I5&amp;".1"</f>
      </c>
      <c r="K6" s="1363"/>
      <c r="L6" s="1364" t="s">
        <v>408</v>
      </c>
      <c r="P6" s="2257"/>
      <c r="Q6" s="2257">
        <v>1</v>
      </c>
      <c r="R6" s="357"/>
      <c r="S6" s="1493">
        <f>$J6</f>
      </c>
      <c r="T6" s="286" t="s">
        <v>409</v>
      </c>
      <c r="U6" s="300"/>
      <c r="V6" s="2245"/>
      <c r="W6" s="2246"/>
      <c r="X6" s="2246"/>
      <c r="Y6" s="2246"/>
      <c r="Z6" s="2246"/>
      <c r="AA6" s="2246"/>
      <c r="AB6" s="2246"/>
      <c r="AC6" s="2246"/>
      <c r="AD6" s="2246"/>
      <c r="AE6" s="2246"/>
      <c r="AF6" s="2247"/>
      <c r="AG6" s="2245"/>
      <c r="AH6" s="2246"/>
      <c r="AI6" s="2246"/>
      <c r="AJ6" s="2246"/>
      <c r="AK6" s="2246"/>
      <c r="AL6" s="2246"/>
      <c r="AM6" s="2246"/>
      <c r="AN6" s="2246"/>
      <c r="AO6" s="2246"/>
      <c r="AP6" s="2246"/>
      <c r="AQ6" s="2246"/>
      <c r="AR6" s="2247"/>
      <c r="AS6" s="1307" t="s">
        <v>487</v>
      </c>
      <c r="AU6" s="500"/>
      <c r="AV6" s="500" t="str">
        <f>IF(T6="","",T6)</f>
        <v>Группа потребителей</v>
      </c>
      <c r="AW6" s="500"/>
      <c r="AX6" s="500"/>
      <c r="AY6" s="1155">
        <v>0</v>
      </c>
    </row>
    <row customHeight="1" ht="23.25" hidden="1">
      <c r="A7" s="1363"/>
      <c r="B7" s="1363"/>
      <c r="C7" s="1363"/>
      <c r="D7" s="1363"/>
      <c r="E7" s="2259"/>
      <c r="F7" s="2259"/>
      <c r="G7" s="2259"/>
      <c r="H7" s="2259"/>
      <c r="I7" s="2286"/>
      <c r="J7" s="2286"/>
      <c r="K7" s="2256">
        <f>J6&amp;".1"</f>
      </c>
      <c r="L7" s="1364"/>
      <c r="P7" s="2257"/>
      <c r="Q7" s="2257"/>
      <c r="R7" s="357">
        <v>1</v>
      </c>
      <c r="S7" s="1493">
        <f>$K7</f>
      </c>
      <c r="T7" s="1437"/>
      <c r="U7" s="300"/>
      <c r="V7" s="751"/>
      <c r="W7" s="751"/>
      <c r="X7" s="751"/>
      <c r="Y7" s="751"/>
      <c r="Z7" s="751"/>
      <c r="AA7" s="751"/>
      <c r="AB7" s="751"/>
      <c r="AC7" s="2265"/>
      <c r="AD7" s="2107" t="s">
        <v>66</v>
      </c>
      <c r="AE7" s="2265"/>
      <c r="AF7" s="2107" t="s">
        <v>66</v>
      </c>
      <c r="AG7" s="751"/>
      <c r="AH7" s="751"/>
      <c r="AI7" s="751"/>
      <c r="AJ7" s="751"/>
      <c r="AK7" s="751"/>
      <c r="AL7" s="751"/>
      <c r="AM7" s="751"/>
      <c r="AN7" s="2265"/>
      <c r="AO7" s="2107" t="s">
        <v>66</v>
      </c>
      <c r="AP7" s="2287"/>
      <c r="AQ7" s="2107" t="s">
        <v>66</v>
      </c>
      <c r="AR7" s="1438"/>
      <c r="AS7" s="234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7" s="511">
        <f>STRCHECKDATE(V8:AR8)</f>
      </c>
      <c r="AU7" s="500"/>
      <c r="AV7" s="500" t="str">
        <f>IF(T7="","",T7)</f>
        <v/>
      </c>
      <c r="AW7" s="500"/>
      <c r="AX7" s="500"/>
      <c r="AY7" s="1155">
        <v>0</v>
      </c>
    </row>
    <row customHeight="1" ht="14.25" hidden="1">
      <c r="A8" s="1363"/>
      <c r="B8" s="1363"/>
      <c r="C8" s="1363"/>
      <c r="D8" s="1363"/>
      <c r="E8" s="2259"/>
      <c r="F8" s="2259"/>
      <c r="G8" s="2259"/>
      <c r="H8" s="2259"/>
      <c r="I8" s="2286"/>
      <c r="J8" s="2286"/>
      <c r="K8" s="2256"/>
      <c r="L8" s="1364"/>
      <c r="P8" s="2257"/>
      <c r="Q8" s="2257"/>
      <c r="R8" s="357"/>
      <c r="S8" s="1490"/>
      <c r="T8" s="300"/>
      <c r="U8" s="300"/>
      <c r="V8" s="325"/>
      <c r="W8" s="325"/>
      <c r="X8" s="325"/>
      <c r="Y8" s="325"/>
      <c r="Z8" s="325"/>
      <c r="AA8" s="325"/>
      <c r="AB8" s="325"/>
      <c r="AC8" s="2266"/>
      <c r="AD8" s="2107"/>
      <c r="AE8" s="2266"/>
      <c r="AF8" s="2107"/>
      <c r="AG8" s="325"/>
      <c r="AH8" s="325"/>
      <c r="AI8" s="325"/>
      <c r="AJ8" s="325"/>
      <c r="AK8" s="325"/>
      <c r="AL8" s="325"/>
      <c r="AM8" s="325"/>
      <c r="AN8" s="2266"/>
      <c r="AO8" s="2107"/>
      <c r="AP8" s="2288"/>
      <c r="AQ8" s="2107"/>
      <c r="AR8" s="1439"/>
      <c r="AS8" s="2349"/>
      <c r="AU8" s="500"/>
      <c r="AV8" s="500" t="str">
        <f>IF(T8="","",T8)</f>
        <v/>
      </c>
      <c r="AW8" s="500"/>
      <c r="AX8" s="500"/>
      <c r="AY8" s="1155">
        <v>0</v>
      </c>
    </row>
    <row customHeight="1" ht="21" hidden="1">
      <c r="A9" s="1363"/>
      <c r="B9" s="1363"/>
      <c r="C9" s="1363"/>
      <c r="D9" s="1363"/>
      <c r="E9" s="2259"/>
      <c r="F9" s="2259"/>
      <c r="G9" s="2259"/>
      <c r="H9" s="2259"/>
      <c r="I9" s="2286"/>
      <c r="J9" s="2256"/>
      <c r="K9" s="1363"/>
      <c r="L9" s="1364"/>
      <c r="P9" s="2257"/>
      <c r="Q9" s="2257"/>
      <c r="R9" s="356"/>
      <c r="S9" s="1278"/>
      <c r="T9" s="287" t="s">
        <v>488</v>
      </c>
      <c r="U9" s="367"/>
      <c r="V9" s="367"/>
      <c r="W9" s="600"/>
      <c r="X9" s="600"/>
      <c r="Y9" s="600"/>
      <c r="Z9" s="600"/>
      <c r="AA9" s="600"/>
      <c r="AB9" s="600"/>
      <c r="AC9" s="367"/>
      <c r="AD9" s="367"/>
      <c r="AE9" s="367"/>
      <c r="AF9" s="367"/>
      <c r="AG9" s="367"/>
      <c r="AH9" s="600"/>
      <c r="AI9" s="600"/>
      <c r="AJ9" s="600"/>
      <c r="AK9" s="600"/>
      <c r="AL9" s="600"/>
      <c r="AM9" s="367"/>
      <c r="AN9" s="367"/>
      <c r="AO9" s="367"/>
      <c r="AP9" s="367"/>
      <c r="AQ9" s="367"/>
      <c r="AR9" s="367"/>
      <c r="AS9" s="1258" t="s">
        <v>489</v>
      </c>
      <c r="AU9" s="500"/>
      <c r="AV9" s="500" t="str">
        <f>IF(T9="","",T9)</f>
        <v>Добавить значение признака дифференциации</v>
      </c>
      <c r="AW9" s="500"/>
      <c r="AX9" s="500"/>
      <c r="AY9" s="1155">
        <v>0</v>
      </c>
    </row>
    <row customHeight="1" ht="21" hidden="1">
      <c r="A10" s="1363"/>
      <c r="B10" s="1363"/>
      <c r="C10" s="1363"/>
      <c r="D10" s="1363"/>
      <c r="E10" s="2259"/>
      <c r="F10" s="2259"/>
      <c r="G10" s="2259"/>
      <c r="H10" s="2259"/>
      <c r="I10" s="2256"/>
      <c r="J10" s="1363"/>
      <c r="K10" s="1363"/>
      <c r="L10" s="1364"/>
      <c r="P10" s="2257"/>
      <c r="Q10" s="1481"/>
      <c r="R10" s="356"/>
      <c r="S10" s="1278"/>
      <c r="T10" s="365" t="s">
        <v>414</v>
      </c>
      <c r="U10" s="367"/>
      <c r="V10" s="367"/>
      <c r="W10" s="600"/>
      <c r="X10" s="600"/>
      <c r="Y10" s="600"/>
      <c r="Z10" s="600"/>
      <c r="AA10" s="600"/>
      <c r="AB10" s="600"/>
      <c r="AC10" s="367"/>
      <c r="AD10" s="367"/>
      <c r="AE10" s="367"/>
      <c r="AF10" s="366"/>
      <c r="AG10" s="367"/>
      <c r="AH10" s="600"/>
      <c r="AI10" s="600"/>
      <c r="AJ10" s="600"/>
      <c r="AK10" s="600"/>
      <c r="AL10" s="600"/>
      <c r="AM10" s="367"/>
      <c r="AN10" s="367"/>
      <c r="AO10" s="367"/>
      <c r="AP10" s="367"/>
      <c r="AQ10" s="366"/>
      <c r="AR10" s="367"/>
      <c r="AS10" s="1440"/>
      <c r="AU10" s="500"/>
      <c r="AV10" s="500" t="str">
        <f>IF(T10="","",T10)</f>
        <v>Добавить группу потребителей</v>
      </c>
      <c r="AW10" s="500"/>
      <c r="AX10" s="500"/>
      <c r="AY10" s="1155">
        <v>0</v>
      </c>
    </row>
    <row customHeight="1" ht="21" hidden="1">
      <c r="A11" s="1363"/>
      <c r="B11" s="1363"/>
      <c r="C11" s="1363"/>
      <c r="D11" s="1363"/>
      <c r="E11" s="2259"/>
      <c r="F11" s="2259"/>
      <c r="G11" s="2259"/>
      <c r="H11" s="2258"/>
      <c r="I11" s="1363"/>
      <c r="J11" s="1363"/>
      <c r="K11" s="1363"/>
      <c r="L11" s="1364"/>
      <c r="M11" s="1365"/>
      <c r="N11" s="1365"/>
      <c r="O11" s="537"/>
      <c r="P11" s="360"/>
      <c r="Q11" s="375"/>
      <c r="R11" s="355"/>
      <c r="S11" s="1278"/>
      <c r="T11" s="372" t="s">
        <v>490</v>
      </c>
      <c r="U11" s="367"/>
      <c r="V11" s="367"/>
      <c r="W11" s="600"/>
      <c r="X11" s="600"/>
      <c r="Y11" s="600"/>
      <c r="Z11" s="600"/>
      <c r="AA11" s="600"/>
      <c r="AB11" s="600"/>
      <c r="AC11" s="367"/>
      <c r="AD11" s="367"/>
      <c r="AE11" s="367"/>
      <c r="AF11" s="366"/>
      <c r="AG11" s="367"/>
      <c r="AH11" s="600"/>
      <c r="AI11" s="600"/>
      <c r="AJ11" s="600"/>
      <c r="AK11" s="600"/>
      <c r="AL11" s="600"/>
      <c r="AM11" s="367"/>
      <c r="AN11" s="367"/>
      <c r="AO11" s="367"/>
      <c r="AP11" s="367"/>
      <c r="AQ11" s="366"/>
      <c r="AR11" s="367"/>
      <c r="AS11" s="303"/>
      <c r="AU11" s="500"/>
      <c r="AV11" s="500" t="str">
        <f>IF(T11="","",T11)</f>
        <v>Добавить наименование признака дифференциации</v>
      </c>
      <c r="AW11" s="500"/>
      <c r="AX11" s="500"/>
      <c r="AY11" s="1155">
        <v>0</v>
      </c>
    </row>
    <row s="1642" customFormat="1" customHeight="1" ht="14.25" hidden="1">
      <c r="A12" s="1343"/>
      <c r="B12" s="1343"/>
      <c r="C12" s="1314"/>
      <c r="D12" s="1314"/>
      <c r="E12" s="2259"/>
      <c r="F12" s="2258"/>
      <c r="G12" s="1314"/>
      <c r="H12" s="1314"/>
      <c r="I12" s="1314"/>
      <c r="J12" s="1314"/>
      <c r="K12" s="1314"/>
      <c r="L12" s="1494"/>
      <c r="M12" s="1321"/>
      <c r="N12" s="1321"/>
      <c r="P12" s="1316"/>
      <c r="Q12" s="1317"/>
      <c r="R12" s="1316"/>
      <c r="S12" s="1322"/>
      <c r="T12" s="1325" t="s">
        <v>417</v>
      </c>
      <c r="U12" s="1324"/>
      <c r="V12" s="1324"/>
      <c r="W12" s="1324"/>
      <c r="X12" s="1324"/>
      <c r="Y12" s="1324"/>
      <c r="Z12" s="1324"/>
      <c r="AA12" s="1324"/>
      <c r="AB12" s="1324"/>
      <c r="AC12" s="1324"/>
      <c r="AD12" s="1324"/>
      <c r="AE12" s="1324"/>
      <c r="AF12" s="1324"/>
      <c r="AG12" s="1324"/>
      <c r="AH12" s="1324"/>
      <c r="AI12" s="1324"/>
      <c r="AJ12" s="1324"/>
      <c r="AK12" s="1324"/>
      <c r="AL12" s="1324"/>
      <c r="AM12" s="1324"/>
      <c r="AN12" s="1324"/>
      <c r="AO12" s="1324"/>
      <c r="AP12" s="1324"/>
      <c r="AQ12" s="1324"/>
      <c r="AR12" s="1324"/>
      <c r="AS12" s="1324"/>
      <c r="AU12" s="789"/>
      <c r="AV12" s="789" t="str">
        <f>IF(T12="","",T12)</f>
        <v>Добавить централизованную систему для дифференциации</v>
      </c>
      <c r="AW12" s="789"/>
      <c r="AX12" s="789"/>
      <c r="AY12" s="518">
        <v>0</v>
      </c>
    </row>
    <row s="1642" customFormat="1" customHeight="1" ht="14.25" hidden="1">
      <c r="A13" s="1343"/>
      <c r="B13" s="1343"/>
      <c r="C13" s="1343"/>
      <c r="D13" s="1343"/>
      <c r="E13" s="2258"/>
      <c r="F13" s="1343"/>
      <c r="G13" s="1343"/>
      <c r="H13" s="1343"/>
      <c r="I13" s="1343"/>
      <c r="J13" s="1343"/>
      <c r="K13" s="1343"/>
      <c r="L13" s="1346"/>
      <c r="M13" s="1321"/>
      <c r="N13" s="1321"/>
      <c r="O13" s="518"/>
      <c r="P13" s="380"/>
      <c r="Q13" s="1344"/>
      <c r="R13" s="380"/>
      <c r="S13" s="1322"/>
      <c r="T13" s="1325" t="s">
        <v>418</v>
      </c>
      <c r="U13" s="1324"/>
      <c r="V13" s="1324"/>
      <c r="W13" s="1324"/>
      <c r="X13" s="1324"/>
      <c r="Y13" s="1324"/>
      <c r="Z13" s="1324"/>
      <c r="AA13" s="1324"/>
      <c r="AB13" s="1324"/>
      <c r="AC13" s="1324"/>
      <c r="AD13" s="1324"/>
      <c r="AE13" s="1324"/>
      <c r="AF13" s="1324"/>
      <c r="AG13" s="1324"/>
      <c r="AH13" s="1324"/>
      <c r="AI13" s="1324"/>
      <c r="AJ13" s="1324"/>
      <c r="AK13" s="1324"/>
      <c r="AL13" s="1324"/>
      <c r="AM13" s="1324"/>
      <c r="AN13" s="1324"/>
      <c r="AO13" s="1324"/>
      <c r="AP13" s="1324"/>
      <c r="AQ13" s="1324"/>
      <c r="AR13" s="1324"/>
      <c r="AS13" s="1324"/>
      <c r="AU13" s="500"/>
      <c r="AV13" s="500" t="str">
        <f>IF(T13="","",T13)</f>
        <v>Добавить территорию для дифференциации</v>
      </c>
      <c r="AW13" s="500"/>
      <c r="AX13" s="500"/>
      <c r="AY13" s="511">
        <v>0</v>
      </c>
    </row>
    <row customHeight="1" ht="14.25" hidden="1">
      <c r="AF14" s="327"/>
      <c r="AQ14" s="327"/>
      <c r="AY14" s="1155">
        <v>0</v>
      </c>
    </row>
    <row customHeight="1" ht="14.25" hidden="1">
      <c r="AG15" s="1360"/>
      <c r="AH15" s="1360"/>
      <c r="AI15" s="1360"/>
      <c r="AJ15" s="1360"/>
      <c r="AK15" s="1360"/>
      <c r="AL15" s="1360"/>
      <c r="AM15" s="1360"/>
      <c r="AN15" s="2267"/>
      <c r="AO15" s="2268" t="s">
        <v>66</v>
      </c>
      <c r="AP15" s="2267"/>
      <c r="AQ15" s="2268" t="s">
        <v>66</v>
      </c>
      <c r="AY15" s="1155">
        <v>0</v>
      </c>
    </row>
    <row customHeight="1" ht="14.25" hidden="1">
      <c r="AG16" s="1360"/>
      <c r="AH16" s="1360"/>
      <c r="AI16" s="1360"/>
      <c r="AJ16" s="1360"/>
      <c r="AK16" s="1360"/>
      <c r="AL16" s="1360"/>
      <c r="AM16" s="1360"/>
      <c r="AN16" s="2268"/>
      <c r="AO16" s="2268"/>
      <c r="AP16" s="2268"/>
      <c r="AQ16" s="2268"/>
      <c r="AY16" s="1155">
        <v>0</v>
      </c>
    </row>
    <row customHeight="1" ht="14.25" hidden="1">
      <c r="AQ17" s="327"/>
      <c r="AY17" s="1155">
        <v>0</v>
      </c>
    </row>
    <row s="1366" customFormat="1" customHeight="1" ht="22.5" hidden="1">
      <c r="L18" s="1478"/>
      <c r="M18" s="1362"/>
      <c r="N18" s="1362"/>
      <c r="O18" s="1367" t="s">
        <v>419</v>
      </c>
      <c r="P18" s="1362"/>
      <c r="Q18" s="1371"/>
      <c r="R18" s="1371"/>
      <c r="S18" s="729"/>
      <c r="W18" s="1366"/>
      <c r="X18" s="1366"/>
      <c r="Y18" s="1366"/>
      <c r="Z18" s="1366"/>
      <c r="AA18" s="1366"/>
      <c r="AB18" s="1366"/>
      <c r="AC18" s="1367"/>
      <c r="AE18" s="1367"/>
      <c r="AF18" s="1366"/>
      <c r="AH18" s="1366"/>
      <c r="AI18" s="1366"/>
      <c r="AJ18" s="1366"/>
      <c r="AK18" s="1366"/>
      <c r="AL18" s="1366"/>
      <c r="AN18" s="1367"/>
      <c r="AP18" s="1367"/>
      <c r="AQ18" s="1366"/>
      <c r="AT18" s="511"/>
      <c r="AU18" s="511"/>
      <c r="AV18" s="511"/>
      <c r="AW18" s="511"/>
      <c r="AX18" s="511"/>
      <c r="AY18" s="1160">
        <v>0</v>
      </c>
    </row>
    <row s="1366" customFormat="1" customHeight="1" ht="14.25" hidden="1">
      <c r="L19" s="1478"/>
      <c r="M19" s="1362"/>
      <c r="N19" s="1362"/>
      <c r="O19" s="1362"/>
      <c r="P19" s="1362"/>
      <c r="Q19" s="1371"/>
      <c r="R19" s="1371"/>
      <c r="S19" s="729"/>
      <c r="W19" s="1366"/>
      <c r="X19" s="1366"/>
      <c r="Y19" s="1366"/>
      <c r="Z19" s="1366"/>
      <c r="AA19" s="1366"/>
      <c r="AB19" s="1366"/>
      <c r="AF19" s="1366"/>
      <c r="AH19" s="1366"/>
      <c r="AI19" s="1366"/>
      <c r="AJ19" s="1366"/>
      <c r="AK19" s="1366"/>
      <c r="AL19" s="1366"/>
      <c r="AQ19" s="1366"/>
      <c r="AT19" s="511"/>
      <c r="AU19" s="511"/>
      <c r="AV19" s="511"/>
      <c r="AW19" s="511"/>
      <c r="AX19" s="511"/>
      <c r="AY19" s="1160">
        <v>0</v>
      </c>
    </row>
    <row s="1366" customFormat="1" customHeight="1" ht="12" hidden="1">
      <c r="L20" s="1478"/>
      <c r="M20" s="1362"/>
      <c r="N20" s="1362"/>
      <c r="O20" s="1364" t="s">
        <v>420</v>
      </c>
      <c r="P20" s="1362"/>
      <c r="Q20" s="1442"/>
      <c r="R20" s="1442"/>
      <c r="S20" s="729"/>
      <c r="T20" s="1160" t="s">
        <v>421</v>
      </c>
      <c r="W20" s="1366"/>
      <c r="X20" s="1366"/>
      <c r="Y20" s="1366"/>
      <c r="Z20" s="1366"/>
      <c r="AA20" s="1366"/>
      <c r="AB20" s="1366"/>
      <c r="AD20" s="186" t="s">
        <v>422</v>
      </c>
      <c r="AF20" s="186" t="s">
        <v>423</v>
      </c>
      <c r="AG20" s="1160" t="s">
        <v>421</v>
      </c>
      <c r="AH20" s="1366"/>
      <c r="AI20" s="1366"/>
      <c r="AJ20" s="1366"/>
      <c r="AK20" s="1366"/>
      <c r="AL20" s="1366"/>
      <c r="AO20" s="186" t="s">
        <v>424</v>
      </c>
      <c r="AQ20" s="186" t="s">
        <v>423</v>
      </c>
      <c r="AY20" s="1160">
        <v>0</v>
      </c>
    </row>
    <row customHeight="1" ht="14.25" hidden="1">
      <c r="O21" s="1364"/>
      <c r="AY21" s="1155">
        <v>0</v>
      </c>
    </row>
    <row customHeight="1" ht="14.25" hidden="1">
      <c r="O22" s="1364"/>
      <c r="AY22" s="1155">
        <v>0</v>
      </c>
    </row>
    <row customHeight="1" ht="14.699999999999998">
      <c r="Q23" s="376"/>
      <c r="R23" s="376"/>
      <c r="S23" s="1275"/>
      <c r="T23" s="363"/>
      <c r="U23" s="363"/>
      <c r="V23" s="509"/>
      <c r="W23" s="1635"/>
      <c r="X23" s="1635"/>
      <c r="Y23" s="1635"/>
      <c r="Z23" s="1635"/>
      <c r="AA23" s="1635"/>
      <c r="AB23" s="1635"/>
      <c r="AC23" s="509"/>
      <c r="AD23" s="509"/>
      <c r="AE23" s="509"/>
      <c r="AF23" s="509"/>
      <c r="AG23" s="509"/>
      <c r="AH23" s="1635"/>
      <c r="AI23" s="1635"/>
      <c r="AJ23" s="1635"/>
      <c r="AK23" s="1635"/>
      <c r="AL23" s="1635"/>
      <c r="AM23" s="509"/>
      <c r="AN23" s="509"/>
      <c r="AO23" s="509"/>
      <c r="AP23" s="509"/>
      <c r="AQ23" s="509"/>
      <c r="AY23" s="1155">
        <v>14</v>
      </c>
    </row>
    <row customHeight="1" ht="26.25">
      <c r="Q24" s="376"/>
      <c r="R24" s="376"/>
      <c r="S24" s="2248" t="str">
        <f>IF(TEMPLATE_GROUP="P",PT_P_FORM_HOTVSNA_4_NAME_FORM,PT_R_FORM_HOTVSNA_16_NAME_FORM)</f>
        <v>Форма 13. Информация о предложении организации горячего водоснабжения об установлении расчетной величины тарифов в сфере горячего водоснабжения на очередной период регулирования</v>
      </c>
      <c r="T24" s="2248"/>
      <c r="U24" s="2248"/>
      <c r="V24" s="2248"/>
      <c r="W24" s="2248"/>
      <c r="X24" s="2248"/>
      <c r="Y24" s="2248"/>
      <c r="Z24" s="2248"/>
      <c r="AA24" s="2248"/>
      <c r="AB24" s="2248"/>
      <c r="AC24" s="2248"/>
      <c r="AD24" s="2248"/>
      <c r="AE24" s="2248"/>
      <c r="AF24" s="2248"/>
      <c r="AG24" s="2248"/>
      <c r="AH24" s="2248"/>
      <c r="AI24" s="2248"/>
      <c r="AJ24" s="2248"/>
      <c r="AK24" s="2248"/>
      <c r="AL24" s="2248"/>
      <c r="AM24" s="2248"/>
      <c r="AN24" s="2248"/>
      <c r="AO24" s="2248"/>
      <c r="AP24" s="2248"/>
      <c r="AQ24" s="1243"/>
      <c r="AY24" s="1155">
        <v>25</v>
      </c>
    </row>
    <row customHeight="1" ht="14.699999999999998">
      <c r="Q25" s="376"/>
      <c r="R25" s="376"/>
      <c r="S25" s="2249" t="str">
        <f>IF(org=0,"Не определено",org)</f>
        <v>ПАО "ОГК-2"</v>
      </c>
      <c r="T25" s="2249"/>
      <c r="U25" s="2249"/>
      <c r="V25" s="2249"/>
      <c r="W25" s="2249"/>
      <c r="X25" s="2249"/>
      <c r="Y25" s="2249"/>
      <c r="Z25" s="2249"/>
      <c r="AA25" s="2249"/>
      <c r="AB25" s="2249"/>
      <c r="AC25" s="2249"/>
      <c r="AD25" s="2249"/>
      <c r="AE25" s="2249"/>
      <c r="AF25" s="2249"/>
      <c r="AG25" s="2249"/>
      <c r="AH25" s="2249"/>
      <c r="AI25" s="2249"/>
      <c r="AJ25" s="2249"/>
      <c r="AK25" s="2249"/>
      <c r="AL25" s="2249"/>
      <c r="AM25" s="2249"/>
      <c r="AN25" s="2249"/>
      <c r="AO25" s="2249"/>
      <c r="AP25" s="2249"/>
      <c r="AQ25" s="1243"/>
      <c r="AY25" s="1155">
        <v>14</v>
      </c>
    </row>
    <row customHeight="1" ht="14.25" hidden="1">
      <c r="Q26" s="376"/>
      <c r="R26" s="376"/>
      <c r="S26" s="1275"/>
      <c r="T26" s="363"/>
      <c r="U26" s="363"/>
      <c r="V26" s="322"/>
      <c r="W26" s="322"/>
      <c r="X26" s="322"/>
      <c r="Y26" s="322"/>
      <c r="Z26" s="322"/>
      <c r="AA26" s="322"/>
      <c r="AB26" s="322"/>
      <c r="AC26" s="322"/>
      <c r="AD26" s="322"/>
      <c r="AE26" s="322"/>
      <c r="AF26" s="322"/>
      <c r="AG26" s="322"/>
      <c r="AH26" s="322"/>
      <c r="AI26" s="322"/>
      <c r="AJ26" s="322"/>
      <c r="AK26" s="322"/>
      <c r="AL26" s="322"/>
      <c r="AM26" s="322"/>
      <c r="AN26" s="322"/>
      <c r="AO26" s="322"/>
      <c r="AP26" s="322"/>
      <c r="AQ26" s="322"/>
      <c r="AR26" s="509"/>
      <c r="AY26" s="1155">
        <v>0</v>
      </c>
    </row>
    <row s="1853" customFormat="1" customHeight="1" ht="25.5" hidden="1">
      <c r="A27" s="1368"/>
      <c r="B27" s="1368"/>
      <c r="C27" s="1368"/>
      <c r="D27" s="1368"/>
      <c r="E27" s="1368"/>
      <c r="F27" s="1368"/>
      <c r="G27" s="1368"/>
      <c r="H27" s="1368"/>
      <c r="I27" s="1368"/>
      <c r="J27" s="1368"/>
      <c r="K27" s="1368"/>
      <c r="L27" s="1369"/>
      <c r="M27" s="1368"/>
      <c r="N27" s="1368"/>
      <c r="O27" s="1368"/>
      <c r="S27" s="2250" t="s">
        <v>42</v>
      </c>
      <c r="T27" s="2250"/>
      <c r="U27" s="1372"/>
      <c r="V27" s="2251" t="str">
        <f>IF(TITLE_NAME_OR_PR_CHANGE="",IF(TITLE_NAME_OR_PR="","",TITLE_NAME_OR_PR),TITLE_NAME_OR_PR_CHANGE)</f>
        <v/>
      </c>
      <c r="W27" s="2251"/>
      <c r="X27" s="2251"/>
      <c r="Y27" s="2251"/>
      <c r="Z27" s="2251"/>
      <c r="AA27" s="2251"/>
      <c r="AB27" s="2251"/>
      <c r="AC27" s="2251"/>
      <c r="AD27" s="2251"/>
      <c r="AE27" s="2251"/>
      <c r="AF27" s="326"/>
      <c r="AG27" s="2251" t="str">
        <f>IF(TITLE_NAME_OR_PR_CHANGE="",IF(TITLE_NAME_OR_PR="","",TITLE_NAME_OR_PR),TITLE_NAME_OR_PR_CHANGE)</f>
        <v/>
      </c>
      <c r="AH27" s="2251"/>
      <c r="AI27" s="2251"/>
      <c r="AJ27" s="2251"/>
      <c r="AK27" s="2251"/>
      <c r="AL27" s="2251"/>
      <c r="AM27" s="2251"/>
      <c r="AN27" s="2251"/>
      <c r="AO27" s="2251"/>
      <c r="AP27" s="2251"/>
      <c r="AQ27" s="326"/>
      <c r="AR27" s="326"/>
      <c r="AS27" s="280"/>
      <c r="AT27" s="368"/>
      <c r="AU27" s="368"/>
      <c r="AV27" s="368"/>
      <c r="AW27" s="368"/>
      <c r="AX27" s="368"/>
      <c r="AY27" s="418">
        <v>0</v>
      </c>
    </row>
    <row s="1853" customFormat="1" customHeight="1" ht="18.75" hidden="1">
      <c r="A28" s="1368"/>
      <c r="B28" s="1368"/>
      <c r="C28" s="1368"/>
      <c r="D28" s="1368"/>
      <c r="E28" s="1368"/>
      <c r="F28" s="1368"/>
      <c r="G28" s="1368"/>
      <c r="H28" s="1368"/>
      <c r="I28" s="1368"/>
      <c r="J28" s="1368"/>
      <c r="K28" s="1368"/>
      <c r="L28" s="1369"/>
      <c r="M28" s="1368"/>
      <c r="N28" s="1368"/>
      <c r="O28" s="1368"/>
      <c r="S28" s="2250" t="s">
        <v>425</v>
      </c>
      <c r="T28" s="2250"/>
      <c r="U28" s="1372"/>
      <c r="V28" s="2264" t="str">
        <f>IF(TITLE_DATE_PR_CHANGE="",IF(TITLE_DATE_PR="","",TITLE_DATE_PR),TITLE_DATE_PR_CHANGE)</f>
        <v/>
      </c>
      <c r="W28" s="2264"/>
      <c r="X28" s="2264"/>
      <c r="Y28" s="2264"/>
      <c r="Z28" s="2264"/>
      <c r="AA28" s="2264"/>
      <c r="AB28" s="2264"/>
      <c r="AC28" s="2264"/>
      <c r="AD28" s="2264"/>
      <c r="AE28" s="2264"/>
      <c r="AF28" s="326"/>
      <c r="AG28" s="2264" t="str">
        <f>IF(TITLE_DATE_PR_CHANGE="",IF(TITLE_DATE_PR="","",TITLE_DATE_PR),TITLE_DATE_PR_CHANGE)</f>
        <v/>
      </c>
      <c r="AH28" s="2264"/>
      <c r="AI28" s="2264"/>
      <c r="AJ28" s="2264"/>
      <c r="AK28" s="2264"/>
      <c r="AL28" s="2264"/>
      <c r="AM28" s="2264"/>
      <c r="AN28" s="2264"/>
      <c r="AO28" s="2264"/>
      <c r="AP28" s="2264"/>
      <c r="AQ28" s="326"/>
      <c r="AR28" s="326"/>
      <c r="AS28" s="280"/>
      <c r="AT28" s="368"/>
      <c r="AU28" s="368"/>
      <c r="AV28" s="368"/>
      <c r="AW28" s="368"/>
      <c r="AX28" s="368"/>
      <c r="AY28" s="418">
        <v>0</v>
      </c>
    </row>
    <row s="1853" customFormat="1" customHeight="1" ht="18.75" hidden="1">
      <c r="A29" s="1368"/>
      <c r="B29" s="1368"/>
      <c r="C29" s="1368"/>
      <c r="D29" s="1368"/>
      <c r="E29" s="1368"/>
      <c r="F29" s="1368"/>
      <c r="G29" s="1368"/>
      <c r="H29" s="1368"/>
      <c r="I29" s="1368"/>
      <c r="J29" s="1368"/>
      <c r="K29" s="1368"/>
      <c r="L29" s="1369"/>
      <c r="M29" s="1368"/>
      <c r="N29" s="1368"/>
      <c r="O29" s="1368"/>
      <c r="S29" s="2250" t="s">
        <v>426</v>
      </c>
      <c r="T29" s="2250"/>
      <c r="U29" s="1372"/>
      <c r="V29" s="2251" t="str">
        <f>IF(TITLE_NUMBER_PR_CHANGE="",IF(TITLE_NUMBER_PR="","",TITLE_NUMBER_PR),TITLE_NUMBER_PR_CHANGE)</f>
        <v/>
      </c>
      <c r="W29" s="2251"/>
      <c r="X29" s="2251"/>
      <c r="Y29" s="2251"/>
      <c r="Z29" s="2251"/>
      <c r="AA29" s="2251"/>
      <c r="AB29" s="2251"/>
      <c r="AC29" s="2251"/>
      <c r="AD29" s="2251"/>
      <c r="AE29" s="2251"/>
      <c r="AF29" s="326"/>
      <c r="AG29" s="2251" t="str">
        <f>IF(TITLE_NUMBER_PR_CHANGE="",IF(TITLE_NUMBER_PR="","",TITLE_NUMBER_PR),TITLE_NUMBER_PR_CHANGE)</f>
        <v/>
      </c>
      <c r="AH29" s="2251"/>
      <c r="AI29" s="2251"/>
      <c r="AJ29" s="2251"/>
      <c r="AK29" s="2251"/>
      <c r="AL29" s="2251"/>
      <c r="AM29" s="2251"/>
      <c r="AN29" s="2251"/>
      <c r="AO29" s="2251"/>
      <c r="AP29" s="2251"/>
      <c r="AQ29" s="326"/>
      <c r="AR29" s="326"/>
      <c r="AS29" s="280"/>
      <c r="AT29" s="368"/>
      <c r="AU29" s="368"/>
      <c r="AV29" s="368"/>
      <c r="AW29" s="368"/>
      <c r="AX29" s="368"/>
      <c r="AY29" s="418">
        <v>0</v>
      </c>
    </row>
    <row s="1853" customFormat="1" customHeight="1" ht="18.75" hidden="1">
      <c r="A30" s="1368"/>
      <c r="B30" s="1368"/>
      <c r="C30" s="1368"/>
      <c r="D30" s="1368"/>
      <c r="E30" s="1368"/>
      <c r="F30" s="1368"/>
      <c r="G30" s="1368"/>
      <c r="H30" s="1368"/>
      <c r="I30" s="1368"/>
      <c r="J30" s="1368"/>
      <c r="K30" s="1368"/>
      <c r="L30" s="1369"/>
      <c r="M30" s="1368"/>
      <c r="N30" s="1368"/>
      <c r="O30" s="1368"/>
      <c r="S30" s="2250" t="s">
        <v>43</v>
      </c>
      <c r="T30" s="2250"/>
      <c r="U30" s="1372"/>
      <c r="V30" s="2251" t="str">
        <f>IF(TITLE_IST_PUB_CHANGE="",IF(TITLE_IST_PUB="","",TITLE_IST_PUB),TITLE_IST_PUB_CHANGE)</f>
        <v/>
      </c>
      <c r="W30" s="2251"/>
      <c r="X30" s="2251"/>
      <c r="Y30" s="2251"/>
      <c r="Z30" s="2251"/>
      <c r="AA30" s="2251"/>
      <c r="AB30" s="2251"/>
      <c r="AC30" s="2251"/>
      <c r="AD30" s="2251"/>
      <c r="AE30" s="2251"/>
      <c r="AF30" s="326"/>
      <c r="AG30" s="2251" t="str">
        <f>IF(TITLE_IST_PUB_CHANGE="",IF(TITLE_IST_PUB="","",TITLE_IST_PUB),TITLE_IST_PUB_CHANGE)</f>
        <v/>
      </c>
      <c r="AH30" s="2251"/>
      <c r="AI30" s="2251"/>
      <c r="AJ30" s="2251"/>
      <c r="AK30" s="2251"/>
      <c r="AL30" s="2251"/>
      <c r="AM30" s="2251"/>
      <c r="AN30" s="2251"/>
      <c r="AO30" s="2251"/>
      <c r="AP30" s="2251"/>
      <c r="AQ30" s="326"/>
      <c r="AR30" s="326"/>
      <c r="AS30" s="280"/>
      <c r="AT30" s="368"/>
      <c r="AU30" s="368"/>
      <c r="AV30" s="368"/>
      <c r="AW30" s="368"/>
      <c r="AX30" s="368"/>
      <c r="AY30" s="418">
        <v>0</v>
      </c>
    </row>
    <row customHeight="1" ht="14.25" hidden="1">
      <c r="Q31" s="376"/>
      <c r="R31" s="376"/>
      <c r="S31" s="1275"/>
      <c r="T31" s="363"/>
      <c r="U31" s="363"/>
      <c r="V31" s="322"/>
      <c r="W31" s="322"/>
      <c r="X31" s="322"/>
      <c r="Y31" s="322"/>
      <c r="Z31" s="322"/>
      <c r="AA31" s="322"/>
      <c r="AB31" s="322"/>
      <c r="AC31" s="322"/>
      <c r="AD31" s="322"/>
      <c r="AE31" s="322"/>
      <c r="AF31" s="322"/>
      <c r="AG31" s="322"/>
      <c r="AH31" s="322"/>
      <c r="AI31" s="322"/>
      <c r="AJ31" s="322"/>
      <c r="AK31" s="322"/>
      <c r="AL31" s="322"/>
      <c r="AM31" s="322"/>
      <c r="AN31" s="322"/>
      <c r="AO31" s="322"/>
      <c r="AP31" s="322"/>
      <c r="AQ31" s="322"/>
      <c r="AR31" s="509"/>
      <c r="AY31" s="1155">
        <v>0</v>
      </c>
    </row>
    <row s="1853" customFormat="1" customHeight="1" ht="18.75" hidden="1">
      <c r="A32" s="1368"/>
      <c r="B32" s="1368"/>
      <c r="C32" s="1368"/>
      <c r="D32" s="1368"/>
      <c r="E32" s="1368"/>
      <c r="F32" s="1368"/>
      <c r="G32" s="1368"/>
      <c r="H32" s="1368"/>
      <c r="I32" s="1368"/>
      <c r="J32" s="1368"/>
      <c r="K32" s="1368"/>
      <c r="L32" s="1369"/>
      <c r="M32" s="1368"/>
      <c r="N32" s="1368"/>
      <c r="O32" s="1368"/>
      <c r="S32" s="2250" t="s">
        <v>427</v>
      </c>
      <c r="T32" s="2250"/>
      <c r="U32" s="1372"/>
      <c r="V32" s="2264" t="str">
        <f>IF(TITLE_DATE_PR_CHANGE="",IF(TITLE_DATE_PR="","",TITLE_DATE_PR),TITLE_DATE_PR_CHANGE)</f>
        <v/>
      </c>
      <c r="W32" s="2264"/>
      <c r="X32" s="2264"/>
      <c r="Y32" s="2264"/>
      <c r="Z32" s="2264"/>
      <c r="AA32" s="2264"/>
      <c r="AB32" s="2264"/>
      <c r="AC32" s="2264"/>
      <c r="AD32" s="2264"/>
      <c r="AE32" s="2264"/>
      <c r="AF32" s="326"/>
      <c r="AG32" s="2264" t="str">
        <f>IF(TITLE_DATE_PR_CHANGE="",IF(TITLE_DATE_PR="","",TITLE_DATE_PR),TITLE_DATE_PR_CHANGE)</f>
        <v/>
      </c>
      <c r="AH32" s="2264"/>
      <c r="AI32" s="2264"/>
      <c r="AJ32" s="2264"/>
      <c r="AK32" s="2264"/>
      <c r="AL32" s="2264"/>
      <c r="AM32" s="2264"/>
      <c r="AN32" s="2264"/>
      <c r="AO32" s="2264"/>
      <c r="AP32" s="2264"/>
      <c r="AQ32" s="326"/>
      <c r="AR32" s="326"/>
      <c r="AS32" s="280"/>
      <c r="AT32" s="368"/>
      <c r="AU32" s="368"/>
      <c r="AV32" s="368"/>
      <c r="AW32" s="368"/>
      <c r="AX32" s="368"/>
      <c r="AY32" s="418">
        <v>0</v>
      </c>
    </row>
    <row s="1853" customFormat="1" customHeight="1" ht="18.75" hidden="1">
      <c r="A33" s="1368"/>
      <c r="B33" s="1368"/>
      <c r="C33" s="1368"/>
      <c r="D33" s="1368"/>
      <c r="E33" s="1368"/>
      <c r="F33" s="1368"/>
      <c r="G33" s="1368"/>
      <c r="H33" s="1368"/>
      <c r="I33" s="1368"/>
      <c r="J33" s="1368"/>
      <c r="K33" s="1368"/>
      <c r="L33" s="1369"/>
      <c r="M33" s="1368"/>
      <c r="N33" s="1368"/>
      <c r="O33" s="1368"/>
      <c r="S33" s="2250" t="s">
        <v>428</v>
      </c>
      <c r="T33" s="2250"/>
      <c r="U33" s="1372"/>
      <c r="V33" s="2251" t="str">
        <f>IF(TITLE_NUMBER_PR_CHANGE="",IF(TITLE_NUMBER_PR="","",TITLE_NUMBER_PR),TITLE_NUMBER_PR_CHANGE)</f>
        <v/>
      </c>
      <c r="W33" s="2251"/>
      <c r="X33" s="2251"/>
      <c r="Y33" s="2251"/>
      <c r="Z33" s="2251"/>
      <c r="AA33" s="2251"/>
      <c r="AB33" s="2251"/>
      <c r="AC33" s="2251"/>
      <c r="AD33" s="2251"/>
      <c r="AE33" s="2251"/>
      <c r="AF33" s="326"/>
      <c r="AG33" s="2251" t="str">
        <f>IF(TITLE_NUMBER_PR_CHANGE="",IF(TITLE_NUMBER_PR="","",TITLE_NUMBER_PR),TITLE_NUMBER_PR_CHANGE)</f>
        <v/>
      </c>
      <c r="AH33" s="2251"/>
      <c r="AI33" s="2251"/>
      <c r="AJ33" s="2251"/>
      <c r="AK33" s="2251"/>
      <c r="AL33" s="2251"/>
      <c r="AM33" s="2251"/>
      <c r="AN33" s="2251"/>
      <c r="AO33" s="2251"/>
      <c r="AP33" s="2251"/>
      <c r="AQ33" s="326"/>
      <c r="AR33" s="326"/>
      <c r="AS33" s="280"/>
      <c r="AT33" s="368"/>
      <c r="AU33" s="368"/>
      <c r="AV33" s="368"/>
      <c r="AW33" s="368"/>
      <c r="AX33" s="368"/>
      <c r="AY33" s="418">
        <v>0</v>
      </c>
    </row>
    <row s="1853" customFormat="1" customHeight="1" ht="1.05">
      <c r="A34" s="1368"/>
      <c r="B34" s="1368"/>
      <c r="C34" s="1368"/>
      <c r="D34" s="1368"/>
      <c r="E34" s="1368"/>
      <c r="F34" s="1368"/>
      <c r="G34" s="1368"/>
      <c r="H34" s="1368"/>
      <c r="I34" s="1368"/>
      <c r="J34" s="1368"/>
      <c r="K34" s="1368"/>
      <c r="L34" s="1369"/>
      <c r="M34" s="1368"/>
      <c r="N34" s="1368"/>
      <c r="O34" s="1368"/>
      <c r="S34" s="323"/>
      <c r="T34" s="323"/>
      <c r="U34" s="1488"/>
      <c r="V34" s="326"/>
      <c r="W34" s="1635"/>
      <c r="X34" s="1635"/>
      <c r="Y34" s="1635"/>
      <c r="Z34" s="1635"/>
      <c r="AA34" s="1635"/>
      <c r="AB34" s="1635"/>
      <c r="AC34" s="326"/>
      <c r="AD34" s="326"/>
      <c r="AE34" s="326"/>
      <c r="AF34" s="278" t="s">
        <v>429</v>
      </c>
      <c r="AG34" s="326"/>
      <c r="AH34" s="1635"/>
      <c r="AI34" s="1635"/>
      <c r="AJ34" s="1635"/>
      <c r="AK34" s="1635"/>
      <c r="AL34" s="1635"/>
      <c r="AM34" s="326"/>
      <c r="AN34" s="326"/>
      <c r="AO34" s="326"/>
      <c r="AP34" s="326"/>
      <c r="AQ34" s="278" t="s">
        <v>429</v>
      </c>
      <c r="AT34" s="368"/>
      <c r="AU34" s="368"/>
      <c r="AV34" s="368"/>
      <c r="AW34" s="368"/>
      <c r="AX34" s="368"/>
      <c r="AY34" s="418">
        <v>1</v>
      </c>
    </row>
    <row customHeight="1" ht="14.699999999999998">
      <c r="Q35" s="376"/>
      <c r="R35" s="376"/>
      <c r="S35" s="1275"/>
      <c r="T35" s="363"/>
      <c r="U35" s="1244"/>
      <c r="V35" s="2252"/>
      <c r="W35" s="2252"/>
      <c r="X35" s="2252"/>
      <c r="Y35" s="2252"/>
      <c r="Z35" s="2252"/>
      <c r="AA35" s="2252"/>
      <c r="AB35" s="2252"/>
      <c r="AC35" s="2252"/>
      <c r="AD35" s="2252"/>
      <c r="AE35" s="2252"/>
      <c r="AF35" s="2252"/>
      <c r="AG35" s="2252"/>
      <c r="AH35" s="2252"/>
      <c r="AI35" s="2252"/>
      <c r="AJ35" s="2252"/>
      <c r="AK35" s="2252"/>
      <c r="AL35" s="2252"/>
      <c r="AM35" s="2252"/>
      <c r="AN35" s="2252"/>
      <c r="AO35" s="2252"/>
      <c r="AP35" s="2252"/>
      <c r="AQ35" s="2252"/>
      <c r="AY35" s="1155">
        <v>14</v>
      </c>
    </row>
    <row customHeight="1" ht="14.699999999999998">
      <c r="Q36" s="376"/>
      <c r="R36" s="376"/>
      <c r="S36" s="2127" t="s">
        <v>302</v>
      </c>
      <c r="T36" s="2127"/>
      <c r="U36" s="2127"/>
      <c r="V36" s="2127"/>
      <c r="W36" s="2127"/>
      <c r="X36" s="2127"/>
      <c r="Y36" s="2127"/>
      <c r="Z36" s="2127"/>
      <c r="AA36" s="2127"/>
      <c r="AB36" s="2127"/>
      <c r="AC36" s="2127"/>
      <c r="AD36" s="2127"/>
      <c r="AE36" s="2127"/>
      <c r="AF36" s="2127"/>
      <c r="AG36" s="2127"/>
      <c r="AH36" s="2127"/>
      <c r="AI36" s="2127"/>
      <c r="AJ36" s="2127"/>
      <c r="AK36" s="2127"/>
      <c r="AL36" s="2127"/>
      <c r="AM36" s="2127"/>
      <c r="AN36" s="2127"/>
      <c r="AO36" s="2127"/>
      <c r="AP36" s="2127"/>
      <c r="AQ36" s="2127"/>
      <c r="AR36" s="2127"/>
      <c r="AS36" s="2127" t="s">
        <v>303</v>
      </c>
      <c r="AY36" s="1155">
        <v>14</v>
      </c>
    </row>
    <row customHeight="1" ht="14.699999999999998">
      <c r="Q37" s="376"/>
      <c r="R37" s="376"/>
      <c r="S37" s="2273" t="s">
        <v>88</v>
      </c>
      <c r="T37" s="2209" t="s">
        <v>430</v>
      </c>
      <c r="U37" s="301"/>
      <c r="V37" s="2274" t="s">
        <v>431</v>
      </c>
      <c r="W37" s="2291"/>
      <c r="X37" s="2291"/>
      <c r="Y37" s="2291"/>
      <c r="Z37" s="2291"/>
      <c r="AA37" s="2291"/>
      <c r="AB37" s="2291"/>
      <c r="AC37" s="2275"/>
      <c r="AD37" s="2275"/>
      <c r="AE37" s="2276"/>
      <c r="AF37" s="2277" t="s">
        <v>432</v>
      </c>
      <c r="AG37" s="2274" t="s">
        <v>431</v>
      </c>
      <c r="AH37" s="2275"/>
      <c r="AI37" s="2275"/>
      <c r="AJ37" s="2275"/>
      <c r="AK37" s="2275"/>
      <c r="AL37" s="2275"/>
      <c r="AM37" s="2275"/>
      <c r="AN37" s="2275"/>
      <c r="AO37" s="2275"/>
      <c r="AP37" s="2276"/>
      <c r="AQ37" s="2277" t="s">
        <v>433</v>
      </c>
      <c r="AR37" s="2280" t="s">
        <v>434</v>
      </c>
      <c r="AS37" s="2127"/>
      <c r="AY37" s="1155">
        <v>14</v>
      </c>
    </row>
    <row customHeight="1" ht="19.95">
      <c r="Q38" s="376"/>
      <c r="R38" s="376"/>
      <c r="S38" s="2273"/>
      <c r="T38" s="2209"/>
      <c r="U38" s="1031"/>
      <c r="V38" s="2366" t="s">
        <v>534</v>
      </c>
      <c r="W38" s="2365" t="s">
        <v>535</v>
      </c>
      <c r="X38" s="2365"/>
      <c r="Y38" s="2365"/>
      <c r="Z38" s="2365" t="s">
        <v>536</v>
      </c>
      <c r="AA38" s="2365"/>
      <c r="AB38" s="2365"/>
      <c r="AC38" s="2294" t="s">
        <v>438</v>
      </c>
      <c r="AD38" s="2313"/>
      <c r="AE38" s="2314"/>
      <c r="AF38" s="2278"/>
      <c r="AG38" s="2366" t="s">
        <v>534</v>
      </c>
      <c r="AH38" s="2365" t="s">
        <v>535</v>
      </c>
      <c r="AI38" s="2365"/>
      <c r="AJ38" s="2365"/>
      <c r="AK38" s="2365" t="s">
        <v>536</v>
      </c>
      <c r="AL38" s="2365"/>
      <c r="AM38" s="2365"/>
      <c r="AN38" s="2294" t="s">
        <v>438</v>
      </c>
      <c r="AO38" s="2313"/>
      <c r="AP38" s="2314"/>
      <c r="AQ38" s="2278"/>
      <c r="AR38" s="2281"/>
      <c r="AS38" s="2127"/>
      <c r="AY38" s="1155">
        <v>19</v>
      </c>
    </row>
    <row s="1635" customFormat="1" customHeight="1" ht="19.95">
      <c r="A39" s="1366"/>
      <c r="B39" s="1366"/>
      <c r="C39" s="1366"/>
      <c r="D39" s="1366"/>
      <c r="E39" s="1366"/>
      <c r="F39" s="1366"/>
      <c r="G39" s="1366"/>
      <c r="H39" s="1366"/>
      <c r="I39" s="1366"/>
      <c r="J39" s="1366"/>
      <c r="K39" s="1366"/>
      <c r="L39" s="1951"/>
      <c r="M39" s="1362"/>
      <c r="N39" s="1362"/>
      <c r="O39" s="1362"/>
      <c r="P39" s="1965"/>
      <c r="Q39" s="376"/>
      <c r="R39" s="376"/>
      <c r="S39" s="2273"/>
      <c r="T39" s="2209"/>
      <c r="U39" s="1031"/>
      <c r="V39" s="2366"/>
      <c r="W39" s="2365" t="s">
        <v>537</v>
      </c>
      <c r="X39" s="2365" t="s">
        <v>538</v>
      </c>
      <c r="Y39" s="2365"/>
      <c r="Z39" s="2365" t="s">
        <v>539</v>
      </c>
      <c r="AA39" s="2365" t="s">
        <v>538</v>
      </c>
      <c r="AB39" s="2365"/>
      <c r="AC39" s="2295"/>
      <c r="AD39" s="2315"/>
      <c r="AE39" s="2316"/>
      <c r="AF39" s="2278"/>
      <c r="AG39" s="2366"/>
      <c r="AH39" s="2365" t="s">
        <v>537</v>
      </c>
      <c r="AI39" s="2365" t="s">
        <v>538</v>
      </c>
      <c r="AJ39" s="2365"/>
      <c r="AK39" s="2365" t="s">
        <v>539</v>
      </c>
      <c r="AL39" s="2365" t="s">
        <v>538</v>
      </c>
      <c r="AM39" s="2365"/>
      <c r="AN39" s="2295"/>
      <c r="AO39" s="2315"/>
      <c r="AP39" s="2316"/>
      <c r="AQ39" s="2278"/>
      <c r="AR39" s="2281"/>
      <c r="AS39" s="2127"/>
      <c r="AT39" s="1636"/>
      <c r="AU39" s="1636"/>
      <c r="AV39" s="1636"/>
      <c r="AW39" s="1636"/>
      <c r="AX39" s="1636"/>
      <c r="AY39" s="1631">
        <v>19</v>
      </c>
    </row>
    <row customHeight="1" ht="61.949999999999996">
      <c r="A40" s="1370"/>
      <c r="B40" s="1370" t="s">
        <v>139</v>
      </c>
      <c r="C40" s="1370" t="s">
        <v>140</v>
      </c>
      <c r="D40" s="1370" t="s">
        <v>141</v>
      </c>
      <c r="E40" s="1364" t="s">
        <v>439</v>
      </c>
      <c r="F40" s="1364" t="s">
        <v>440</v>
      </c>
      <c r="G40" s="1364" t="s">
        <v>441</v>
      </c>
      <c r="H40" s="1364"/>
      <c r="I40" s="1364" t="s">
        <v>492</v>
      </c>
      <c r="J40" s="1364" t="s">
        <v>444</v>
      </c>
      <c r="K40" s="1364" t="s">
        <v>493</v>
      </c>
      <c r="L40" s="1364" t="s">
        <v>420</v>
      </c>
      <c r="Q40" s="376"/>
      <c r="R40" s="376"/>
      <c r="S40" s="2273"/>
      <c r="T40" s="2209"/>
      <c r="U40" s="302"/>
      <c r="V40" s="2366"/>
      <c r="W40" s="2365"/>
      <c r="X40" s="1983" t="s">
        <v>540</v>
      </c>
      <c r="Y40" s="1983" t="s">
        <v>541</v>
      </c>
      <c r="Z40" s="2365"/>
      <c r="AA40" s="1983" t="s">
        <v>542</v>
      </c>
      <c r="AB40" s="1983" t="s">
        <v>543</v>
      </c>
      <c r="AC40" s="1489" t="s">
        <v>448</v>
      </c>
      <c r="AD40" s="2270" t="s">
        <v>449</v>
      </c>
      <c r="AE40" s="2271"/>
      <c r="AF40" s="2279"/>
      <c r="AG40" s="2366"/>
      <c r="AH40" s="2365"/>
      <c r="AI40" s="1983" t="s">
        <v>540</v>
      </c>
      <c r="AJ40" s="1983" t="s">
        <v>541</v>
      </c>
      <c r="AK40" s="2365"/>
      <c r="AL40" s="1983" t="s">
        <v>542</v>
      </c>
      <c r="AM40" s="1983" t="s">
        <v>543</v>
      </c>
      <c r="AN40" s="1489" t="s">
        <v>448</v>
      </c>
      <c r="AO40" s="2270" t="s">
        <v>449</v>
      </c>
      <c r="AP40" s="2271"/>
      <c r="AQ40" s="2279"/>
      <c r="AR40" s="2282"/>
      <c r="AS40" s="2127"/>
      <c r="AY40" s="1155">
        <v>59</v>
      </c>
    </row>
    <row s="1641" customFormat="1" customHeight="1" ht="11.25" hidden="1">
      <c r="A41" s="1370"/>
      <c r="B41" s="1370"/>
      <c r="C41" s="1370"/>
      <c r="D41" s="1370"/>
      <c r="E41" s="1370"/>
      <c r="F41" s="1370"/>
      <c r="G41" s="1370"/>
      <c r="H41" s="1370"/>
      <c r="I41" s="1370"/>
      <c r="J41" s="1370"/>
      <c r="K41" s="1370"/>
      <c r="L41" s="1364"/>
      <c r="M41" s="1362"/>
      <c r="N41" s="1362"/>
      <c r="O41" s="1362"/>
      <c r="P41" s="1246"/>
      <c r="Q41" s="1247"/>
      <c r="R41" s="1254">
        <v>1</v>
      </c>
      <c r="S41" s="1277" t="s">
        <v>109</v>
      </c>
      <c r="T41" s="1255" t="s">
        <v>110</v>
      </c>
      <c r="U41" s="1245" t="str">
        <f>OFFSET(U41,0,-1)</f>
        <v>2</v>
      </c>
      <c r="V41" s="1482">
        <f>OFFSET(V41,0,-1)+1</f>
        <v>3</v>
      </c>
      <c r="W41" s="1341"/>
      <c r="X41" s="1341"/>
      <c r="Y41" s="1341"/>
      <c r="Z41" s="1341"/>
      <c r="AA41" s="1341"/>
      <c r="AB41" s="1341"/>
      <c r="AC41" s="1482">
        <f>OFFSET(AC41,0,-1)+1</f>
        <v>1</v>
      </c>
      <c r="AD41" s="2272">
        <f>OFFSET(AD41,0,-1)+1</f>
        <v>2</v>
      </c>
      <c r="AE41" s="2272"/>
      <c r="AF41" s="1482">
        <f>OFFSET(AF41,0,-2)+1</f>
        <v>3</v>
      </c>
      <c r="AG41" s="1482">
        <f>OFFSET(AG41,0,-1)+1</f>
        <v>4</v>
      </c>
      <c r="AH41" s="1956"/>
      <c r="AI41" s="1956"/>
      <c r="AJ41" s="1956"/>
      <c r="AK41" s="1956"/>
      <c r="AL41" s="1956"/>
      <c r="AM41" s="1482">
        <f>OFFSET(AM41,0,-1)+1</f>
        <v>1</v>
      </c>
      <c r="AN41" s="1482">
        <f>OFFSET(AN41,0,-1)+1</f>
        <v>2</v>
      </c>
      <c r="AO41" s="2272">
        <f>OFFSET(AO41,0,-1)+1</f>
        <v>3</v>
      </c>
      <c r="AP41" s="2272"/>
      <c r="AQ41" s="1482">
        <f>OFFSET(AQ41,0,-2)+1</f>
        <v>4</v>
      </c>
      <c r="AR41" s="1245">
        <f>OFFSET(AR41,0,-1)</f>
        <v>4</v>
      </c>
      <c r="AS41" s="1482">
        <f>OFFSET(AS41,0,-1)+1</f>
        <v>5</v>
      </c>
      <c r="AT41" s="511"/>
      <c r="AU41" s="511"/>
      <c r="AV41" s="511"/>
      <c r="AW41" s="511"/>
      <c r="AX41" s="511"/>
      <c r="AY41" s="496">
        <v>0</v>
      </c>
    </row>
    <row customHeight="1" ht="24">
      <c r="A42" s="1363" t="s">
        <v>253</v>
      </c>
      <c r="B42" s="1363"/>
      <c r="C42" s="1363"/>
      <c r="D42" s="1363"/>
      <c r="E42" s="2258">
        <v>1</v>
      </c>
      <c r="F42" s="1363"/>
      <c r="G42" s="1363"/>
      <c r="H42" s="1363"/>
      <c r="I42" s="1363"/>
      <c r="J42" s="1363"/>
      <c r="K42" s="1363"/>
      <c r="L42" s="1364"/>
      <c r="M42" s="1365"/>
      <c r="N42" s="1365"/>
      <c r="O42" s="1365"/>
      <c r="P42" s="361"/>
      <c r="Q42" s="360"/>
      <c r="R42" s="355"/>
      <c r="S42" s="1493">
        <f>INDEX(PT_DIFFERENTIATION_NUM_NTAR,MATCH(A42,PT_DIFFERENTIATION_NTAR_ID,0))</f>
        <v>0</v>
      </c>
      <c r="T42" s="298" t="s">
        <v>127</v>
      </c>
      <c r="U42" s="300"/>
      <c r="V42" s="2242"/>
      <c r="W42" s="2243"/>
      <c r="X42" s="2243"/>
      <c r="Y42" s="2243"/>
      <c r="Z42" s="2243"/>
      <c r="AA42" s="2243"/>
      <c r="AB42" s="2243"/>
      <c r="AC42" s="2243"/>
      <c r="AD42" s="2243"/>
      <c r="AE42" s="2243"/>
      <c r="AF42" s="2244"/>
      <c r="AG42" s="2242" t="str">
        <f>INDEX(PT_DIFFERENTIATION_NTAR,MATCH(A42,PT_DIFFERENTIATION_NTAR_ID,0))</f>
        <v/>
      </c>
      <c r="AH42" s="2243"/>
      <c r="AI42" s="2243"/>
      <c r="AJ42" s="2243"/>
      <c r="AK42" s="2243"/>
      <c r="AL42" s="2243"/>
      <c r="AM42" s="2243"/>
      <c r="AN42" s="2243"/>
      <c r="AO42" s="2243"/>
      <c r="AP42" s="2243"/>
      <c r="AQ42" s="2243"/>
      <c r="AR42" s="2244"/>
      <c r="AS42"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U42" s="500"/>
      <c r="AV42" s="500" t="str">
        <f>IF(T42="","",T42)</f>
        <v>Наименование тарифа</v>
      </c>
      <c r="AW42" s="500"/>
      <c r="AX42" s="500"/>
      <c r="AY42" s="1155">
        <v>23</v>
      </c>
    </row>
    <row customHeight="1" ht="24">
      <c r="A43" s="1363" t="s">
        <v>253</v>
      </c>
      <c r="B43" s="1363" t="s">
        <v>254</v>
      </c>
      <c r="C43" s="1363"/>
      <c r="D43" s="1363"/>
      <c r="E43" s="2259"/>
      <c r="F43" s="2258">
        <v>1</v>
      </c>
      <c r="G43" s="1363"/>
      <c r="H43" s="1363"/>
      <c r="I43" s="1363"/>
      <c r="J43" s="1363"/>
      <c r="K43" s="1363"/>
      <c r="L43" s="1364"/>
      <c r="M43" s="1365"/>
      <c r="N43" s="1365"/>
      <c r="O43" s="1365"/>
      <c r="P43" s="1487"/>
      <c r="Q43" s="352"/>
      <c r="R43" s="353"/>
      <c r="S43" s="1493" t="str">
        <f>INDEX(PT_DIFFERENTIATION_NUM_TER,MATCH(B43,PT_DIFFERENTIATION_TER_ID,0))</f>
        <v>.</v>
      </c>
      <c r="T43" s="308" t="s">
        <v>399</v>
      </c>
      <c r="U43" s="300"/>
      <c r="V43" s="2242"/>
      <c r="W43" s="2243"/>
      <c r="X43" s="2243"/>
      <c r="Y43" s="2243"/>
      <c r="Z43" s="2243"/>
      <c r="AA43" s="2243"/>
      <c r="AB43" s="2243"/>
      <c r="AC43" s="2243"/>
      <c r="AD43" s="2243"/>
      <c r="AE43" s="2243"/>
      <c r="AF43" s="2244"/>
      <c r="AG43" s="2242" t="str">
        <f>INDEX(PT_DIFFERENTIATION_TER,MATCH(B43,PT_DIFFERENTIATION_TER_ID,0))</f>
        <v/>
      </c>
      <c r="AH43" s="2243"/>
      <c r="AI43" s="2243"/>
      <c r="AJ43" s="2243"/>
      <c r="AK43" s="2243"/>
      <c r="AL43" s="2243"/>
      <c r="AM43" s="2243"/>
      <c r="AN43" s="2243"/>
      <c r="AO43" s="2243"/>
      <c r="AP43" s="2243"/>
      <c r="AQ43" s="2243"/>
      <c r="AR43" s="2244"/>
      <c r="AS43" s="1258" t="s">
        <v>400</v>
      </c>
      <c r="AU43" s="500"/>
      <c r="AV43" s="500" t="str">
        <f>IF(T43="","",T43)</f>
        <v>Территория действия тарифа</v>
      </c>
      <c r="AW43" s="500"/>
      <c r="AX43" s="500"/>
      <c r="AY43" s="1155">
        <v>23</v>
      </c>
    </row>
    <row customHeight="1" ht="24">
      <c r="A44" s="1363" t="s">
        <v>253</v>
      </c>
      <c r="B44" s="1363" t="s">
        <v>254</v>
      </c>
      <c r="C44" s="1363" t="s">
        <v>255</v>
      </c>
      <c r="D44" s="1363"/>
      <c r="E44" s="2259"/>
      <c r="F44" s="2259"/>
      <c r="G44" s="2258">
        <v>1</v>
      </c>
      <c r="H44" s="1363"/>
      <c r="I44" s="1363"/>
      <c r="J44" s="1363"/>
      <c r="K44" s="1363"/>
      <c r="L44" s="1364"/>
      <c r="M44" s="1365"/>
      <c r="N44" s="1365"/>
      <c r="O44" s="1365"/>
      <c r="P44" s="354"/>
      <c r="Q44" s="352"/>
      <c r="R44" s="353"/>
      <c r="S44" s="1493" t="str">
        <f>INDEX(PT_DIFFERENTIATION_NUM_CS,MATCH(C44,PT_DIFFERENTIATION_CS_ID,0))</f>
        <v>..</v>
      </c>
      <c r="T44" s="309" t="s">
        <v>532</v>
      </c>
      <c r="U44" s="300"/>
      <c r="V44" s="2242"/>
      <c r="W44" s="2243"/>
      <c r="X44" s="2243"/>
      <c r="Y44" s="2243"/>
      <c r="Z44" s="2243"/>
      <c r="AA44" s="2243"/>
      <c r="AB44" s="2243"/>
      <c r="AC44" s="2243"/>
      <c r="AD44" s="2243"/>
      <c r="AE44" s="2243"/>
      <c r="AF44" s="2244"/>
      <c r="AG44" s="2242" t="str">
        <f>INDEX(PT_DIFFERENTIATION_CS,MATCH(C44,PT_DIFFERENTIATION_CS_ID,0))</f>
        <v/>
      </c>
      <c r="AH44" s="2243"/>
      <c r="AI44" s="2243"/>
      <c r="AJ44" s="2243"/>
      <c r="AK44" s="2243"/>
      <c r="AL44" s="2243"/>
      <c r="AM44" s="2243"/>
      <c r="AN44" s="2243"/>
      <c r="AO44" s="2243"/>
      <c r="AP44" s="2243"/>
      <c r="AQ44" s="2243"/>
      <c r="AR44" s="2244"/>
      <c r="AS44" s="1258" t="s">
        <v>533</v>
      </c>
      <c r="AU44" s="500"/>
      <c r="AV44" s="500" t="str">
        <f>IF(T44="","",T44)</f>
        <v>Наименование централизованной системы горячего водоснабжения</v>
      </c>
      <c r="AW44" s="500"/>
      <c r="AX44" s="500"/>
      <c r="AY44" s="1155">
        <v>23</v>
      </c>
    </row>
    <row customHeight="1" ht="24">
      <c r="A45" s="1363" t="s">
        <v>253</v>
      </c>
      <c r="B45" s="1363" t="s">
        <v>254</v>
      </c>
      <c r="C45" s="1363" t="s">
        <v>255</v>
      </c>
      <c r="D45" s="1363" t="s">
        <v>544</v>
      </c>
      <c r="E45" s="2259"/>
      <c r="F45" s="2259"/>
      <c r="G45" s="2259"/>
      <c r="H45" s="2259"/>
      <c r="I45" s="2256" t="str">
        <f>S44&amp;".1"</f>
        <v>...1</v>
      </c>
      <c r="J45" s="1363"/>
      <c r="K45" s="1363"/>
      <c r="L45" s="1364"/>
      <c r="P45" s="2257">
        <v>1</v>
      </c>
      <c r="Q45" s="1481"/>
      <c r="R45" s="356"/>
      <c r="S45" s="1493" t="str">
        <f>$I45</f>
        <v>...1</v>
      </c>
      <c r="T45" s="285" t="s">
        <v>485</v>
      </c>
      <c r="U45" s="300"/>
      <c r="V45" s="2350"/>
      <c r="W45" s="2351"/>
      <c r="X45" s="2351"/>
      <c r="Y45" s="2351"/>
      <c r="Z45" s="2351"/>
      <c r="AA45" s="2351"/>
      <c r="AB45" s="2351"/>
      <c r="AC45" s="2351"/>
      <c r="AD45" s="2351"/>
      <c r="AE45" s="2351"/>
      <c r="AF45" s="2352"/>
      <c r="AG45" s="2353"/>
      <c r="AH45" s="2354"/>
      <c r="AI45" s="2354"/>
      <c r="AJ45" s="2354"/>
      <c r="AK45" s="2354"/>
      <c r="AL45" s="2354"/>
      <c r="AM45" s="2354"/>
      <c r="AN45" s="2354"/>
      <c r="AO45" s="2354"/>
      <c r="AP45" s="2354"/>
      <c r="AQ45" s="2354"/>
      <c r="AR45" s="2355"/>
      <c r="AS45" s="1258" t="s">
        <v>486</v>
      </c>
      <c r="AU45" s="500"/>
      <c r="AV45" s="500" t="str">
        <f>IF(T45="","",T45)</f>
        <v>Наименование признака дифференциации</v>
      </c>
      <c r="AW45" s="500"/>
      <c r="AX45" s="500"/>
      <c r="AY45" s="1155">
        <v>23</v>
      </c>
    </row>
    <row customHeight="1" ht="24">
      <c r="A46" s="1363" t="s">
        <v>253</v>
      </c>
      <c r="B46" s="1363" t="s">
        <v>254</v>
      </c>
      <c r="C46" s="1363" t="s">
        <v>255</v>
      </c>
      <c r="D46" s="1363" t="s">
        <v>544</v>
      </c>
      <c r="E46" s="2259"/>
      <c r="F46" s="2259"/>
      <c r="G46" s="2259"/>
      <c r="H46" s="2259"/>
      <c r="I46" s="2286"/>
      <c r="J46" s="2256" t="str">
        <f>I45&amp;".1"</f>
        <v>...1.1</v>
      </c>
      <c r="K46" s="1363"/>
      <c r="L46" s="1364" t="s">
        <v>408</v>
      </c>
      <c r="P46" s="2257"/>
      <c r="Q46" s="2257">
        <v>1</v>
      </c>
      <c r="R46" s="357"/>
      <c r="S46" s="1493" t="str">
        <f>$J46</f>
        <v>...1.1</v>
      </c>
      <c r="T46" s="286" t="s">
        <v>409</v>
      </c>
      <c r="U46" s="300"/>
      <c r="V46" s="2245"/>
      <c r="W46" s="2246"/>
      <c r="X46" s="2246"/>
      <c r="Y46" s="2246"/>
      <c r="Z46" s="2246"/>
      <c r="AA46" s="2246"/>
      <c r="AB46" s="2246"/>
      <c r="AC46" s="2246"/>
      <c r="AD46" s="2246"/>
      <c r="AE46" s="2246"/>
      <c r="AF46" s="2247"/>
      <c r="AG46" s="2245"/>
      <c r="AH46" s="2246"/>
      <c r="AI46" s="2246"/>
      <c r="AJ46" s="2246"/>
      <c r="AK46" s="2246"/>
      <c r="AL46" s="2246"/>
      <c r="AM46" s="2246"/>
      <c r="AN46" s="2246"/>
      <c r="AO46" s="2246"/>
      <c r="AP46" s="2246"/>
      <c r="AQ46" s="2246"/>
      <c r="AR46" s="2247"/>
      <c r="AS46" s="1307" t="s">
        <v>487</v>
      </c>
      <c r="AU46" s="500"/>
      <c r="AV46" s="500" t="str">
        <f>IF(T46="","",T46)</f>
        <v>Группа потребителей</v>
      </c>
      <c r="AW46" s="500"/>
      <c r="AX46" s="500"/>
      <c r="AY46" s="1155">
        <v>23</v>
      </c>
    </row>
    <row customHeight="1" ht="24">
      <c r="A47" s="1363" t="s">
        <v>253</v>
      </c>
      <c r="B47" s="1363" t="s">
        <v>254</v>
      </c>
      <c r="C47" s="1363" t="s">
        <v>255</v>
      </c>
      <c r="D47" s="1363" t="s">
        <v>544</v>
      </c>
      <c r="E47" s="2259"/>
      <c r="F47" s="2259"/>
      <c r="G47" s="2259"/>
      <c r="H47" s="2259"/>
      <c r="I47" s="2286"/>
      <c r="J47" s="2286"/>
      <c r="K47" s="2256" t="str">
        <f>J46&amp;".1"</f>
        <v>...1.1.1</v>
      </c>
      <c r="L47" s="1364"/>
      <c r="P47" s="2257"/>
      <c r="Q47" s="2257"/>
      <c r="R47" s="357">
        <v>1</v>
      </c>
      <c r="S47" s="1493" t="str">
        <f>$K47</f>
        <v>...1.1.1</v>
      </c>
      <c r="T47" s="1437"/>
      <c r="U47" s="300"/>
      <c r="V47" s="751"/>
      <c r="W47" s="751"/>
      <c r="X47" s="751"/>
      <c r="Y47" s="751"/>
      <c r="Z47" s="751"/>
      <c r="AA47" s="751"/>
      <c r="AB47" s="751"/>
      <c r="AC47" s="2267"/>
      <c r="AD47" s="2268" t="s">
        <v>66</v>
      </c>
      <c r="AE47" s="2267"/>
      <c r="AF47" s="2268" t="s">
        <v>66</v>
      </c>
      <c r="AG47" s="751"/>
      <c r="AH47" s="751"/>
      <c r="AI47" s="751"/>
      <c r="AJ47" s="751"/>
      <c r="AK47" s="751"/>
      <c r="AL47" s="751"/>
      <c r="AM47" s="751"/>
      <c r="AN47" s="2265"/>
      <c r="AO47" s="2107" t="s">
        <v>66</v>
      </c>
      <c r="AP47" s="2287"/>
      <c r="AQ47" s="2107" t="s">
        <v>19</v>
      </c>
      <c r="AR47" s="1438"/>
      <c r="AS47" s="234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47" s="511">
        <f>STRCHECKDATE(V48:AR48)</f>
      </c>
      <c r="AU47" s="500"/>
      <c r="AV47" s="500" t="str">
        <f>IF(T47="","",T47)</f>
        <v/>
      </c>
      <c r="AW47" s="500"/>
      <c r="AX47" s="500"/>
      <c r="AY47" s="1155">
        <v>23</v>
      </c>
    </row>
    <row customHeight="1" ht="0">
      <c r="A48" s="1363" t="s">
        <v>253</v>
      </c>
      <c r="B48" s="1363" t="s">
        <v>254</v>
      </c>
      <c r="C48" s="1363" t="s">
        <v>255</v>
      </c>
      <c r="D48" s="1363" t="s">
        <v>544</v>
      </c>
      <c r="E48" s="2259"/>
      <c r="F48" s="2259"/>
      <c r="G48" s="2259"/>
      <c r="H48" s="2259"/>
      <c r="I48" s="2286"/>
      <c r="J48" s="2286"/>
      <c r="K48" s="2256"/>
      <c r="L48" s="1364"/>
      <c r="P48" s="2257"/>
      <c r="Q48" s="2257"/>
      <c r="R48" s="357"/>
      <c r="S48" s="1490"/>
      <c r="T48" s="300"/>
      <c r="U48" s="300"/>
      <c r="V48" s="1360"/>
      <c r="W48" s="1360"/>
      <c r="X48" s="1360"/>
      <c r="Y48" s="1360"/>
      <c r="Z48" s="1360"/>
      <c r="AA48" s="1360"/>
      <c r="AB48" s="1360"/>
      <c r="AC48" s="2268"/>
      <c r="AD48" s="2268"/>
      <c r="AE48" s="2268"/>
      <c r="AF48" s="2268"/>
      <c r="AG48" s="325"/>
      <c r="AH48" s="325"/>
      <c r="AI48" s="325"/>
      <c r="AJ48" s="325"/>
      <c r="AK48" s="325"/>
      <c r="AL48" s="325"/>
      <c r="AM48" s="325"/>
      <c r="AN48" s="2266"/>
      <c r="AO48" s="2107"/>
      <c r="AP48" s="2288"/>
      <c r="AQ48" s="2107"/>
      <c r="AR48" s="1439"/>
      <c r="AS48" s="2349"/>
      <c r="AU48" s="500"/>
      <c r="AV48" s="500" t="str">
        <f>IF(T48="","",T48)</f>
        <v/>
      </c>
      <c r="AW48" s="500"/>
      <c r="AX48" s="500"/>
      <c r="AY48" s="1155">
        <v>0</v>
      </c>
    </row>
    <row customHeight="1" ht="21">
      <c r="A49" s="1363" t="s">
        <v>253</v>
      </c>
      <c r="B49" s="1363" t="s">
        <v>254</v>
      </c>
      <c r="C49" s="1363" t="s">
        <v>255</v>
      </c>
      <c r="D49" s="1363" t="s">
        <v>544</v>
      </c>
      <c r="E49" s="2259"/>
      <c r="F49" s="2259"/>
      <c r="G49" s="2259"/>
      <c r="H49" s="2259"/>
      <c r="I49" s="2286"/>
      <c r="J49" s="2256"/>
      <c r="K49" s="1363"/>
      <c r="L49" s="1364"/>
      <c r="P49" s="2257"/>
      <c r="Q49" s="2257"/>
      <c r="R49" s="356"/>
      <c r="S49" s="1278"/>
      <c r="T49" s="287" t="s">
        <v>488</v>
      </c>
      <c r="U49" s="367"/>
      <c r="V49" s="367"/>
      <c r="W49" s="600"/>
      <c r="X49" s="600"/>
      <c r="Y49" s="600"/>
      <c r="Z49" s="600"/>
      <c r="AA49" s="600"/>
      <c r="AB49" s="600"/>
      <c r="AC49" s="367"/>
      <c r="AD49" s="367"/>
      <c r="AE49" s="367"/>
      <c r="AF49" s="367"/>
      <c r="AG49" s="367"/>
      <c r="AH49" s="600"/>
      <c r="AI49" s="600"/>
      <c r="AJ49" s="600"/>
      <c r="AK49" s="600"/>
      <c r="AL49" s="600"/>
      <c r="AM49" s="367"/>
      <c r="AN49" s="367"/>
      <c r="AO49" s="367"/>
      <c r="AP49" s="367"/>
      <c r="AQ49" s="367"/>
      <c r="AR49" s="367"/>
      <c r="AS49" s="1258" t="s">
        <v>489</v>
      </c>
      <c r="AU49" s="500"/>
      <c r="AV49" s="500" t="str">
        <f>IF(T49="","",T49)</f>
        <v>Добавить значение признака дифференциации</v>
      </c>
      <c r="AW49" s="500"/>
      <c r="AX49" s="500"/>
      <c r="AY49" s="1155">
        <v>20</v>
      </c>
    </row>
    <row customHeight="1" ht="22.049999999999997">
      <c r="A50" s="1363" t="s">
        <v>253</v>
      </c>
      <c r="B50" s="1363" t="s">
        <v>254</v>
      </c>
      <c r="C50" s="1363" t="s">
        <v>255</v>
      </c>
      <c r="D50" s="1363" t="s">
        <v>544</v>
      </c>
      <c r="E50" s="2259"/>
      <c r="F50" s="2259"/>
      <c r="G50" s="2259"/>
      <c r="H50" s="2259"/>
      <c r="I50" s="2256"/>
      <c r="J50" s="1363"/>
      <c r="K50" s="1363"/>
      <c r="L50" s="1364"/>
      <c r="P50" s="2257"/>
      <c r="Q50" s="1481"/>
      <c r="R50" s="356"/>
      <c r="S50" s="1278"/>
      <c r="T50" s="365" t="s">
        <v>414</v>
      </c>
      <c r="U50" s="367"/>
      <c r="V50" s="367"/>
      <c r="W50" s="600"/>
      <c r="X50" s="600"/>
      <c r="Y50" s="600"/>
      <c r="Z50" s="600"/>
      <c r="AA50" s="600"/>
      <c r="AB50" s="600"/>
      <c r="AC50" s="367"/>
      <c r="AD50" s="367"/>
      <c r="AE50" s="367"/>
      <c r="AF50" s="366"/>
      <c r="AG50" s="367"/>
      <c r="AH50" s="600"/>
      <c r="AI50" s="600"/>
      <c r="AJ50" s="600"/>
      <c r="AK50" s="600"/>
      <c r="AL50" s="600"/>
      <c r="AM50" s="367"/>
      <c r="AN50" s="367"/>
      <c r="AO50" s="367"/>
      <c r="AP50" s="367"/>
      <c r="AQ50" s="366"/>
      <c r="AR50" s="367"/>
      <c r="AS50" s="1440"/>
      <c r="AU50" s="500"/>
      <c r="AV50" s="500" t="str">
        <f>IF(T50="","",T50)</f>
        <v>Добавить группу потребителей</v>
      </c>
      <c r="AW50" s="500"/>
      <c r="AX50" s="500"/>
      <c r="AY50" s="1155">
        <v>21</v>
      </c>
    </row>
    <row customHeight="1" ht="22.049999999999997">
      <c r="A51" s="1363" t="s">
        <v>253</v>
      </c>
      <c r="B51" s="1363" t="s">
        <v>254</v>
      </c>
      <c r="C51" s="1363" t="s">
        <v>255</v>
      </c>
      <c r="D51" s="1363" t="s">
        <v>544</v>
      </c>
      <c r="E51" s="2259"/>
      <c r="F51" s="2259"/>
      <c r="G51" s="2259"/>
      <c r="H51" s="2258"/>
      <c r="I51" s="1363"/>
      <c r="J51" s="1363"/>
      <c r="K51" s="1363"/>
      <c r="L51" s="1364"/>
      <c r="M51" s="1365"/>
      <c r="N51" s="1365"/>
      <c r="O51" s="537"/>
      <c r="P51" s="360"/>
      <c r="Q51" s="375"/>
      <c r="R51" s="355"/>
      <c r="S51" s="1278"/>
      <c r="T51" s="372" t="s">
        <v>490</v>
      </c>
      <c r="U51" s="367"/>
      <c r="V51" s="367"/>
      <c r="W51" s="600"/>
      <c r="X51" s="600"/>
      <c r="Y51" s="600"/>
      <c r="Z51" s="600"/>
      <c r="AA51" s="600"/>
      <c r="AB51" s="600"/>
      <c r="AC51" s="367"/>
      <c r="AD51" s="367"/>
      <c r="AE51" s="367"/>
      <c r="AF51" s="366"/>
      <c r="AG51" s="367"/>
      <c r="AH51" s="600"/>
      <c r="AI51" s="600"/>
      <c r="AJ51" s="600"/>
      <c r="AK51" s="600"/>
      <c r="AL51" s="600"/>
      <c r="AM51" s="367"/>
      <c r="AN51" s="367"/>
      <c r="AO51" s="367"/>
      <c r="AP51" s="367"/>
      <c r="AQ51" s="366"/>
      <c r="AR51" s="367"/>
      <c r="AS51" s="303"/>
      <c r="AU51" s="500"/>
      <c r="AV51" s="500" t="str">
        <f>IF(T51="","",T51)</f>
        <v>Добавить наименование признака дифференциации</v>
      </c>
      <c r="AW51" s="500"/>
      <c r="AX51" s="500"/>
      <c r="AY51" s="1155">
        <v>21</v>
      </c>
    </row>
    <row s="1642" customFormat="1" customHeight="1" ht="0">
      <c r="A52" s="1343" t="s">
        <v>253</v>
      </c>
      <c r="B52" s="1343" t="s">
        <v>254</v>
      </c>
      <c r="C52" s="1314"/>
      <c r="D52" s="1314"/>
      <c r="E52" s="2259"/>
      <c r="F52" s="2258"/>
      <c r="G52" s="1314"/>
      <c r="H52" s="1314"/>
      <c r="I52" s="1314"/>
      <c r="J52" s="1314"/>
      <c r="K52" s="1314"/>
      <c r="L52" s="1494"/>
      <c r="M52" s="1321"/>
      <c r="N52" s="1321"/>
      <c r="P52" s="1316"/>
      <c r="Q52" s="1317"/>
      <c r="R52" s="1316"/>
      <c r="S52" s="1322"/>
      <c r="T52" s="1325" t="s">
        <v>417</v>
      </c>
      <c r="U52" s="1324"/>
      <c r="V52" s="1324"/>
      <c r="W52" s="1324"/>
      <c r="X52" s="1324"/>
      <c r="Y52" s="1324"/>
      <c r="Z52" s="1324"/>
      <c r="AA52" s="1324"/>
      <c r="AB52" s="1324"/>
      <c r="AC52" s="1324"/>
      <c r="AD52" s="1324"/>
      <c r="AE52" s="1324"/>
      <c r="AF52" s="1324"/>
      <c r="AG52" s="1324"/>
      <c r="AH52" s="1324"/>
      <c r="AI52" s="1324"/>
      <c r="AJ52" s="1324"/>
      <c r="AK52" s="1324"/>
      <c r="AL52" s="1324"/>
      <c r="AM52" s="1324"/>
      <c r="AN52" s="1324"/>
      <c r="AO52" s="1324"/>
      <c r="AP52" s="1324"/>
      <c r="AQ52" s="1324"/>
      <c r="AR52" s="1324"/>
      <c r="AS52" s="1324"/>
      <c r="AU52" s="789"/>
      <c r="AV52" s="789" t="str">
        <f>IF(T52="","",T52)</f>
        <v>Добавить централизованную систему для дифференциации</v>
      </c>
      <c r="AW52" s="789"/>
      <c r="AX52" s="789"/>
      <c r="AY52" s="518">
        <v>0</v>
      </c>
    </row>
    <row s="1642" customFormat="1" customHeight="1" ht="0">
      <c r="A53" s="1343" t="s">
        <v>253</v>
      </c>
      <c r="B53" s="1343"/>
      <c r="C53" s="1343"/>
      <c r="D53" s="1343"/>
      <c r="E53" s="2258"/>
      <c r="F53" s="1343"/>
      <c r="G53" s="1343"/>
      <c r="H53" s="1343"/>
      <c r="I53" s="1343"/>
      <c r="J53" s="1343"/>
      <c r="K53" s="1343"/>
      <c r="L53" s="1346"/>
      <c r="M53" s="1321"/>
      <c r="N53" s="1321"/>
      <c r="O53" s="518"/>
      <c r="P53" s="380"/>
      <c r="Q53" s="1344"/>
      <c r="R53" s="380"/>
      <c r="S53" s="1322"/>
      <c r="T53" s="1325" t="s">
        <v>418</v>
      </c>
      <c r="U53" s="1324"/>
      <c r="V53" s="1324"/>
      <c r="W53" s="1324"/>
      <c r="X53" s="1324"/>
      <c r="Y53" s="1324"/>
      <c r="Z53" s="1324"/>
      <c r="AA53" s="1324"/>
      <c r="AB53" s="1324"/>
      <c r="AC53" s="1324"/>
      <c r="AD53" s="1324"/>
      <c r="AE53" s="1324"/>
      <c r="AF53" s="1324"/>
      <c r="AG53" s="1324"/>
      <c r="AH53" s="1324"/>
      <c r="AI53" s="1324"/>
      <c r="AJ53" s="1324"/>
      <c r="AK53" s="1324"/>
      <c r="AL53" s="1324"/>
      <c r="AM53" s="1324"/>
      <c r="AN53" s="1324"/>
      <c r="AO53" s="1324"/>
      <c r="AP53" s="1324"/>
      <c r="AQ53" s="1324"/>
      <c r="AR53" s="1324"/>
      <c r="AS53" s="1324"/>
      <c r="AU53" s="500"/>
      <c r="AV53" s="500" t="str">
        <f>IF(T53="","",T53)</f>
        <v>Добавить территорию для дифференциации</v>
      </c>
      <c r="AW53" s="500"/>
      <c r="AX53" s="500"/>
      <c r="AY53" s="511">
        <v>0</v>
      </c>
    </row>
    <row s="1642" customFormat="1" customHeight="1" ht="0">
      <c r="A54" s="1314"/>
      <c r="B54" s="1314"/>
      <c r="C54" s="1314"/>
      <c r="D54" s="1314"/>
      <c r="E54" s="1343"/>
      <c r="F54" s="1314"/>
      <c r="G54" s="1314"/>
      <c r="H54" s="1314"/>
      <c r="I54" s="1314"/>
      <c r="J54" s="1314"/>
      <c r="K54" s="1314"/>
      <c r="L54" s="1494"/>
      <c r="M54" s="1321"/>
      <c r="N54" s="1321"/>
      <c r="P54" s="1316"/>
      <c r="Q54" s="1317"/>
      <c r="R54" s="1316"/>
      <c r="S54" s="1322"/>
      <c r="T54" s="1325" t="s">
        <v>450</v>
      </c>
      <c r="U54" s="1324"/>
      <c r="V54" s="1324"/>
      <c r="W54" s="1324"/>
      <c r="X54" s="1324"/>
      <c r="Y54" s="1324"/>
      <c r="Z54" s="1324"/>
      <c r="AA54" s="1324"/>
      <c r="AB54" s="1324"/>
      <c r="AC54" s="1324"/>
      <c r="AD54" s="1324"/>
      <c r="AE54" s="1324"/>
      <c r="AF54" s="1324"/>
      <c r="AG54" s="1324"/>
      <c r="AH54" s="1324"/>
      <c r="AI54" s="1324"/>
      <c r="AJ54" s="1324"/>
      <c r="AK54" s="1324"/>
      <c r="AL54" s="1324"/>
      <c r="AM54" s="1324"/>
      <c r="AN54" s="1324"/>
      <c r="AO54" s="1324"/>
      <c r="AP54" s="1324"/>
      <c r="AQ54" s="1324"/>
      <c r="AR54" s="1324"/>
      <c r="AS54" s="1324"/>
      <c r="AU54" s="789"/>
      <c r="AV54" s="789" t="str">
        <f>IF(T54="","",T54)</f>
        <v>Добавить наименование тарифа</v>
      </c>
      <c r="AW54" s="789"/>
      <c r="AX54" s="789"/>
      <c r="AY54" s="518">
        <v>0</v>
      </c>
    </row>
    <row customHeight="1" ht="11.549999999999999">
      <c r="M55" s="1160"/>
      <c r="N55" s="1160"/>
      <c r="O55" s="537"/>
      <c r="P55" s="1155"/>
      <c r="Q55" s="1155"/>
      <c r="R55" s="1155"/>
      <c r="S55" s="1155"/>
      <c r="AT55" s="1155"/>
      <c r="AU55" s="1155"/>
      <c r="AV55" s="1155"/>
      <c r="AW55" s="1155"/>
      <c r="AX55" s="1155"/>
      <c r="AY55" s="1155">
        <v>11</v>
      </c>
    </row>
    <row customHeight="1" ht="14.699999999999998">
      <c r="O56" s="537"/>
      <c r="S56" s="1253"/>
      <c r="T56" s="2285"/>
      <c r="U56" s="2285"/>
      <c r="V56" s="2285"/>
      <c r="W56" s="2285"/>
      <c r="X56" s="2285"/>
      <c r="Y56" s="2285"/>
      <c r="Z56" s="2285"/>
      <c r="AA56" s="2285"/>
      <c r="AB56" s="2285"/>
      <c r="AC56" s="2285"/>
      <c r="AD56" s="2285"/>
      <c r="AE56" s="2285"/>
      <c r="AF56" s="2285"/>
      <c r="AG56" s="2285"/>
      <c r="AH56" s="2285"/>
      <c r="AI56" s="2285"/>
      <c r="AJ56" s="2285"/>
      <c r="AK56" s="2285"/>
      <c r="AL56" s="2285"/>
      <c r="AM56" s="2285"/>
      <c r="AN56" s="2285"/>
      <c r="AO56" s="2285"/>
      <c r="AP56" s="2285"/>
      <c r="AQ56" s="2285"/>
      <c r="AR56" s="2285"/>
      <c r="AS56" s="2285"/>
      <c r="AY56" s="1155">
        <v>14</v>
      </c>
    </row>
    <row customHeight="1" ht="14.699999999999998">
      <c r="O57" s="537"/>
      <c r="AY57" s="1155">
        <v>14</v>
      </c>
    </row>
    <row customHeight="1" ht="14.699999999999998">
      <c r="O58" s="537"/>
      <c r="S58" s="1253"/>
      <c r="T58" s="2285"/>
      <c r="U58" s="2285"/>
      <c r="V58" s="2285"/>
      <c r="W58" s="2285"/>
      <c r="X58" s="2285"/>
      <c r="Y58" s="2285"/>
      <c r="Z58" s="2285"/>
      <c r="AA58" s="2285"/>
      <c r="AB58" s="2285"/>
      <c r="AC58" s="2285"/>
      <c r="AD58" s="2285"/>
      <c r="AE58" s="2285"/>
      <c r="AF58" s="2285"/>
      <c r="AG58" s="2285"/>
      <c r="AH58" s="2285"/>
      <c r="AI58" s="2285"/>
      <c r="AJ58" s="2285"/>
      <c r="AK58" s="2285"/>
      <c r="AL58" s="2285"/>
      <c r="AM58" s="2285"/>
      <c r="AN58" s="2285"/>
      <c r="AO58" s="2285"/>
      <c r="AP58" s="2285"/>
      <c r="AQ58" s="2285"/>
      <c r="AR58" s="2285"/>
      <c r="AS58" s="2285"/>
      <c r="AY58" s="1155">
        <v>14</v>
      </c>
    </row>
    <row customHeight="1" ht="22.5" hidden="1">
      <c r="A59" s="1160" t="s">
        <v>82</v>
      </c>
      <c r="B59" s="1160">
        <v>0</v>
      </c>
      <c r="C59" s="1160">
        <v>0</v>
      </c>
      <c r="D59" s="1160">
        <v>0</v>
      </c>
      <c r="E59" s="1160">
        <v>0</v>
      </c>
      <c r="F59" s="1160">
        <v>0</v>
      </c>
      <c r="G59" s="1160">
        <v>0</v>
      </c>
      <c r="H59" s="1160">
        <v>0</v>
      </c>
      <c r="I59" s="1160">
        <v>0</v>
      </c>
      <c r="J59" s="1160">
        <v>0</v>
      </c>
      <c r="K59" s="1160">
        <v>0</v>
      </c>
      <c r="L59" s="1478">
        <v>0</v>
      </c>
      <c r="M59" s="1362">
        <v>0</v>
      </c>
      <c r="N59" s="1362">
        <v>0</v>
      </c>
      <c r="O59" s="1362">
        <v>0</v>
      </c>
      <c r="P59" s="1473">
        <v>3</v>
      </c>
      <c r="Q59" s="344">
        <v>3</v>
      </c>
      <c r="R59" s="344">
        <v>3</v>
      </c>
      <c r="S59" s="581">
        <v>12</v>
      </c>
      <c r="T59" s="1155">
        <v>35</v>
      </c>
      <c r="U59" s="1155">
        <v>0</v>
      </c>
      <c r="V59" s="1155">
        <v>0</v>
      </c>
      <c r="W59" s="1631">
        <v>0</v>
      </c>
      <c r="X59" s="1631">
        <v>0</v>
      </c>
      <c r="Y59" s="1631">
        <v>0</v>
      </c>
      <c r="Z59" s="1631">
        <v>0</v>
      </c>
      <c r="AA59" s="1631">
        <v>0</v>
      </c>
      <c r="AB59" s="1631">
        <v>0</v>
      </c>
      <c r="AC59" s="1155">
        <v>0</v>
      </c>
      <c r="AD59" s="1155">
        <v>0</v>
      </c>
      <c r="AE59" s="1155">
        <v>0</v>
      </c>
      <c r="AF59" s="1155">
        <v>0</v>
      </c>
      <c r="AG59" s="1155">
        <v>19</v>
      </c>
      <c r="AH59" s="1631">
        <v>19</v>
      </c>
      <c r="AI59" s="1631">
        <v>19</v>
      </c>
      <c r="AJ59" s="1631">
        <v>19</v>
      </c>
      <c r="AK59" s="1631">
        <v>19</v>
      </c>
      <c r="AL59" s="1631">
        <v>19</v>
      </c>
      <c r="AM59" s="1155">
        <v>19</v>
      </c>
      <c r="AN59" s="1155">
        <v>11</v>
      </c>
      <c r="AO59" s="1155">
        <v>3</v>
      </c>
      <c r="AP59" s="1155">
        <v>11</v>
      </c>
      <c r="AQ59" s="1155">
        <v>0</v>
      </c>
      <c r="AR59" s="1155">
        <v>4</v>
      </c>
      <c r="AS59" s="1155">
        <v>115</v>
      </c>
      <c r="AT59" s="511">
        <v>10</v>
      </c>
      <c r="AU59" s="511">
        <v>10</v>
      </c>
      <c r="AV59" s="511">
        <v>10</v>
      </c>
      <c r="AW59" s="511">
        <v>10</v>
      </c>
      <c r="AX59" s="511">
        <v>10</v>
      </c>
      <c r="AY59" s="1155">
        <v>23</v>
      </c>
    </row>
  </sheetData>
  <sheetProtection formatColumns="0" formatRows="0" autoFilter="0" sort="0" insertRows="0" insertColumns="1" deleteRows="0" deleteColumns="0"/>
  <mergeCells count="113">
    <mergeCell ref="AS47:AS48"/>
    <mergeCell ref="T56:AS56"/>
    <mergeCell ref="T58:AS58"/>
    <mergeCell ref="K47:K48"/>
    <mergeCell ref="AC47:AC48"/>
    <mergeCell ref="AD47:AD48"/>
    <mergeCell ref="AE47:AE48"/>
    <mergeCell ref="AF47:AF48"/>
    <mergeCell ref="AN47:AN48"/>
    <mergeCell ref="V38:V40"/>
    <mergeCell ref="AD41:AE41"/>
    <mergeCell ref="AO41:AP41"/>
    <mergeCell ref="E42:E53"/>
    <mergeCell ref="V42:AF42"/>
    <mergeCell ref="AG42:AR42"/>
    <mergeCell ref="F43:F52"/>
    <mergeCell ref="V43:AF43"/>
    <mergeCell ref="AG43:AR43"/>
    <mergeCell ref="G44:G51"/>
    <mergeCell ref="V44:AF44"/>
    <mergeCell ref="AG44:AR44"/>
    <mergeCell ref="H45:H51"/>
    <mergeCell ref="I45:I50"/>
    <mergeCell ref="P45:P50"/>
    <mergeCell ref="V45:AF45"/>
    <mergeCell ref="AG45:AR45"/>
    <mergeCell ref="J46:J49"/>
    <mergeCell ref="Q46:Q49"/>
    <mergeCell ref="V46:AF46"/>
    <mergeCell ref="AG46:AR46"/>
    <mergeCell ref="AO47:AO48"/>
    <mergeCell ref="AP47:AP48"/>
    <mergeCell ref="AQ47:AQ48"/>
    <mergeCell ref="V28:AE28"/>
    <mergeCell ref="AG28:AP28"/>
    <mergeCell ref="AS36:AS40"/>
    <mergeCell ref="S37:S40"/>
    <mergeCell ref="T37:T40"/>
    <mergeCell ref="V37:AE37"/>
    <mergeCell ref="AF37:AF40"/>
    <mergeCell ref="AG37:AP37"/>
    <mergeCell ref="AQ37:AQ40"/>
    <mergeCell ref="S32:T32"/>
    <mergeCell ref="V32:AE32"/>
    <mergeCell ref="AG32:AP32"/>
    <mergeCell ref="S33:T33"/>
    <mergeCell ref="V33:AE33"/>
    <mergeCell ref="AG33:AP33"/>
    <mergeCell ref="AR37:AR40"/>
    <mergeCell ref="AD40:AE40"/>
    <mergeCell ref="AO40:AP40"/>
    <mergeCell ref="V35:AF35"/>
    <mergeCell ref="AG35:AQ35"/>
    <mergeCell ref="S36:AR36"/>
    <mergeCell ref="AN38:AP39"/>
    <mergeCell ref="AC38:AE39"/>
    <mergeCell ref="AL39:AM39"/>
    <mergeCell ref="S29:T29"/>
    <mergeCell ref="AG38:AG40"/>
    <mergeCell ref="AS7:AS8"/>
    <mergeCell ref="AN15:AN16"/>
    <mergeCell ref="AO15:AO16"/>
    <mergeCell ref="AP15:AP16"/>
    <mergeCell ref="AQ15:AQ16"/>
    <mergeCell ref="AD7:AD8"/>
    <mergeCell ref="AE7:AE8"/>
    <mergeCell ref="AF7:AF8"/>
    <mergeCell ref="AN7:AN8"/>
    <mergeCell ref="AO7:AO8"/>
    <mergeCell ref="AP7:AP8"/>
    <mergeCell ref="V29:AE29"/>
    <mergeCell ref="AG29:AP29"/>
    <mergeCell ref="S30:T30"/>
    <mergeCell ref="V30:AE30"/>
    <mergeCell ref="AG30:AP30"/>
    <mergeCell ref="S24:AP24"/>
    <mergeCell ref="S25:AP25"/>
    <mergeCell ref="S27:T27"/>
    <mergeCell ref="V27:AE27"/>
    <mergeCell ref="AG27:AP27"/>
    <mergeCell ref="S28:T28"/>
    <mergeCell ref="E2:E13"/>
    <mergeCell ref="V2:AF2"/>
    <mergeCell ref="AG2:AR2"/>
    <mergeCell ref="F3:F12"/>
    <mergeCell ref="V3:AF3"/>
    <mergeCell ref="AG3:AR3"/>
    <mergeCell ref="G4:G11"/>
    <mergeCell ref="V4:AF4"/>
    <mergeCell ref="AG4:AR4"/>
    <mergeCell ref="H5:H11"/>
    <mergeCell ref="I5:I10"/>
    <mergeCell ref="P5:P10"/>
    <mergeCell ref="V5:AF5"/>
    <mergeCell ref="AG5:AR5"/>
    <mergeCell ref="J6:J9"/>
    <mergeCell ref="Q6:Q9"/>
    <mergeCell ref="V6:AF6"/>
    <mergeCell ref="AG6:AR6"/>
    <mergeCell ref="K7:K8"/>
    <mergeCell ref="AC7:AC8"/>
    <mergeCell ref="AQ7:AQ8"/>
    <mergeCell ref="AH38:AJ38"/>
    <mergeCell ref="AK38:AM38"/>
    <mergeCell ref="AH39:AH40"/>
    <mergeCell ref="AI39:AJ39"/>
    <mergeCell ref="AK39:AK40"/>
    <mergeCell ref="X39:Y39"/>
    <mergeCell ref="W39:W40"/>
    <mergeCell ref="Z39:Z40"/>
    <mergeCell ref="AA39:AB39"/>
    <mergeCell ref="W38:Y38"/>
    <mergeCell ref="Z38:AB38"/>
  </mergeCells>
  <dataValidations count="7">
    <dataValidation allowBlank="1" showInputMessage="1" showErrorMessage="1" prompt="Для выбора выполните двойной щелчок левой клавиши мыши по соответствующей ячейке." sqref="AD65579 AD131115 AD196651 AD262187 AD327723 AD393259 AD458795 AD524331 AD589867 AD655403 AD720939 AD786475 AD852011 AD917547 AD983083 AF131115 AF458795 AF196651 AF262187 AF327723 AF393259 AF524331 AF589867 AF655403 AF720939 AF786475 AF852011 AF917547 AF983083 AF65579 AO65579 AO131115 AO196651 AO262187 AO327723 AO393259 AO458795 AO524331 AO589867 AO655403 AO720939 AO786475 AO852011 AO917547 AO983083 AQ524331 AQ196651 AQ589867 AQ655403 AQ15 AQ720939 AQ786475 AQ852011 AQ917547 AQ983083 AQ65579 AQ131115 AQ458795 AQ262187 AQ7 AO47 AQ327723 AO15 AO7 AD7 AF7 AQ393259 AQ47 AD47 AF47"/>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AC65579 AC131115 AC196651 AC262187 AC327723 AC393259 AC458795 AC524331 AC589867 AC655403 AC720939 AC786475 AC852011 AC917547 AC983083 AE65579 AE131115 AE196651 AE262187 AE327723 AE393259 AE458795 AE524331 AE589867 AE655403 AE720939 AE786475 AE852011 AE917547 AE983083 AN15 AN65579 AN131115 AN196651 AN262187 AN327723 AN393259 AN458795 AN524331 AN589867 AN655403 AN720939 AN786475 AN852011 AN917547 AN983083 AP65579 AP131115 AP196651 AP262187 AP327723 AP393259 AP458795 AP524331 AP589867 AP655403 AP720939 AP786475 AP852011 AP917547 AP983083 AP47 AN47 AP15 AP7 AN7 AC7 AE7 AC47 AE47"/>
    <dataValidation type="list" allowBlank="1" showInputMessage="1" showErrorMessage="1" errorTitle="Ошибка" error="Выберите значение из списка" sqref="T65579 T131115 T196651 T262187 T327723 T393259 T458795 T524331 T589867 T655403 T720939 T786475 T852011 T917547 T983083">
      <formula1>kind_of_heat_transfer</formula1>
    </dataValidation>
    <dataValidation type="textLength" operator="lessThanOrEqual" allowBlank="1" showInputMessage="1" showErrorMessage="1" errorTitle="Ошибка" error="Допускается ввод не более 900 символов!" sqref="AS65573:AS65580 AS131109:AS131116 AS196645:AS196652 AS262181:AS262188 AS327717:AS327724 AS393253:AS393260 AS458789:AS458796 AS524325:AS524332 AS589861:AS589868 AS655397:AS655404 AS720933:AS720940 AS786469:AS786476 AS852005:AS852012 AS917541:AS917548 AS983077:AS983084 T47 T7 AG45:AR45 AG5:AR5">
      <formula1>900</formula1>
    </dataValidation>
    <dataValidation type="list" allowBlank="1" showInputMessage="1" showErrorMessage="1" errorTitle="Ошибка" error="Выберите значение из списка" sqref="AG917545:AL917545 AG852009:AL852009 AG786473:AL786473 AG720937:AL720937 AG655401:AL655401 AG589865:AL589865 AG524329:AL524329 AG458793:AL458793 AG393257:AL393257 AG327721:AL327721 AG262185:AL262185 AG196649:AL196649 AG131113:AL131113 AG65577:AL65577 AG983081:AL983081 V983081:AB983081 V65577:AB65577 V131113:AB131113 V196649:AB196649 V262185:AB262185 V327721:AB327721 V393257:AB393257 V458793:AB458793 V524329:AB524329 V589865:AB589865 V655401:AB655401 V720937:AB720937 V786473:AB786473 V852009:AB852009 V917545:AB917545">
      <formula1>kind_of_scheme_in</formula1>
    </dataValidation>
    <dataValidation type="list" allowBlank="1" showInputMessage="1" errorTitle="Ошибка" error="Выберите значение из списка" prompt="Выберите значение из списка" sqref="V983082:AR983082 V65578:AR65578 V131114:AR131114 V196650:AR196650 V262186:AR262186 V327722:AR327722 V393258:AR393258 V458794:AR458794 V524330:AR524330 V589866:AR589866 V655402:AR655402 V720938:AR720938 V786474:AR786474 V852010:AR852010 V917546:AR917546">
      <formula1>kind_of_cons</formula1>
    </dataValidation>
    <dataValidation allowBlank="1" sqref="S131117:AS131123 S196653:AS196659 S262189:AS262195 S327725:AS327731 S393261:AS393267 S458797:AS458803 S524333:AS524339 S589869:AS589875 S655405:AS655411 S720941:AS720947 S786477:AS786483 S852013:AS852019 S917549:AS917555 S983085:AS983091 S65581:AS65587"/>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3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7B4E6A4-81B1-A487-C201-C7C9CFF645AF}" mc:Ignorable="x14ac xr xr2 xr3">
  <sheetPr>
    <tabColor theme="6" tint="0.4"/>
  </sheetPr>
  <dimension ref="A1:AY59"/>
  <sheetViews>
    <sheetView showGridLines="0" zoomScale="90" workbookViewId="0">
      <pane xSplit="32" ySplit="41" topLeftCell="AG42" activePane="bottomRight" state="frozen"/>
      <selection pane="bottomLeft" activeCell="A42" sqref="A42"/>
      <selection pane="topRight" activeCell="AG1" sqref="AG1"/>
      <selection pane="bottomRight" activeCell="A1" sqref="A1"/>
    </sheetView>
  </sheetViews>
  <sheetFormatPr defaultColWidth="10.57421875" customHeight="1" defaultRowHeight="14.25"/>
  <cols>
    <col min="1" max="1" style="1366" width="10.57421875" hidden="1"/>
    <col min="2" max="2" style="1366" width="11.00390625" hidden="1" customWidth="1"/>
    <col min="3" max="3" style="1366" width="10.57421875" hidden="1"/>
    <col min="4" max="4" style="1366" width="11.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4.140625" hidden="1" customWidth="1"/>
    <col min="10" max="10" style="1366" width="9.8515625" hidden="1" customWidth="1"/>
    <col min="11" max="11" style="1366" width="14.7109375" hidden="1" customWidth="1"/>
    <col min="12" max="12" style="2607" width="19.140625" hidden="1" customWidth="1"/>
    <col min="13" max="14" style="1776" width="12.28125" hidden="1" customWidth="1"/>
    <col min="15" max="15" style="1776" width="23.421875" hidden="1" customWidth="1"/>
    <col min="16" max="16" style="2397" width="3.00390625" customWidth="1"/>
    <col min="17" max="18" style="344" width="3.00390625" customWidth="1"/>
    <col min="19" max="19" style="2407" width="12.00390625" customWidth="1"/>
    <col min="20" max="20" style="1635" width="35.00390625" customWidth="1"/>
    <col min="21" max="21" style="1635" width="0.140625" customWidth="1"/>
    <col min="22" max="28" style="1635" width="19.7109375" hidden="1" customWidth="1"/>
    <col min="29" max="29" style="1635" width="11.7109375" hidden="1" customWidth="1"/>
    <col min="30" max="30" style="1635" width="3.7109375" hidden="1" customWidth="1"/>
    <col min="31" max="31" style="1635" width="11.7109375" hidden="1" customWidth="1"/>
    <col min="32" max="32" style="1635" width="8.57421875" hidden="1" customWidth="1"/>
    <col min="33" max="33" style="1635" width="19.7109375" customWidth="1"/>
    <col min="34" max="39" style="1635" width="19.00390625" customWidth="1"/>
    <col min="40" max="40" style="1635" width="11.00390625" customWidth="1"/>
    <col min="41" max="41" style="1635" width="3.7109375" customWidth="1"/>
    <col min="42" max="42" style="1635" width="11.00390625" customWidth="1"/>
    <col min="43" max="43" style="1635" width="8.57421875" hidden="1" customWidth="1"/>
    <col min="44" max="44" style="1635" width="4.00390625" customWidth="1"/>
    <col min="45" max="45" style="1635" width="115.00390625" customWidth="1"/>
    <col min="46" max="50" style="1642" width="10.00390625" customWidth="1"/>
    <col min="51" max="51" style="1635" width="10.57421875" hidden="1"/>
  </cols>
  <sheetData>
    <row customHeight="1" ht="22.5" hidden="1">
      <c r="AB1" s="327"/>
      <c r="AC1" s="327"/>
      <c r="AM1" s="327"/>
      <c r="AN1" s="327"/>
      <c r="AY1" s="1155" t="s">
        <v>14</v>
      </c>
    </row>
    <row customHeight="1" ht="23.25" hidden="1">
      <c r="A2" s="1363"/>
      <c r="B2" s="1363"/>
      <c r="C2" s="1363"/>
      <c r="D2" s="1363"/>
      <c r="E2" s="2258">
        <v>1</v>
      </c>
      <c r="F2" s="1363"/>
      <c r="G2" s="1363"/>
      <c r="H2" s="1363"/>
      <c r="I2" s="1363"/>
      <c r="J2" s="1363"/>
      <c r="K2" s="1363"/>
      <c r="L2" s="1364"/>
      <c r="M2" s="1365"/>
      <c r="N2" s="1365"/>
      <c r="O2" s="1365"/>
      <c r="P2" s="361"/>
      <c r="Q2" s="360"/>
      <c r="R2" s="355"/>
      <c r="S2" s="1493">
        <f>INDEX(PT_DIFFERENTIATION_NUM_NTAR,MATCH(A2,PT_DIFFERENTIATION_NTAR_ID,0))</f>
      </c>
      <c r="T2" s="298" t="s">
        <v>127</v>
      </c>
      <c r="U2" s="300"/>
      <c r="V2" s="2242"/>
      <c r="W2" s="2243"/>
      <c r="X2" s="2243"/>
      <c r="Y2" s="2243"/>
      <c r="Z2" s="2243"/>
      <c r="AA2" s="2243"/>
      <c r="AB2" s="2243"/>
      <c r="AC2" s="2243"/>
      <c r="AD2" s="2243"/>
      <c r="AE2" s="2243"/>
      <c r="AF2" s="2244"/>
      <c r="AG2" s="2242">
        <f>INDEX(PT_DIFFERENTIATION_NTAR,MATCH(A2,PT_DIFFERENTIATION_NTAR_ID,0))</f>
      </c>
      <c r="AH2" s="2243"/>
      <c r="AI2" s="2243"/>
      <c r="AJ2" s="2243"/>
      <c r="AK2" s="2243"/>
      <c r="AL2" s="2243"/>
      <c r="AM2" s="2243"/>
      <c r="AN2" s="2243"/>
      <c r="AO2" s="2243"/>
      <c r="AP2" s="2243"/>
      <c r="AQ2" s="2243"/>
      <c r="AR2" s="2244"/>
      <c r="AS2"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U2" s="500"/>
      <c r="AV2" s="500" t="str">
        <f>IF(T2="","",T2)</f>
        <v>Наименование тарифа</v>
      </c>
      <c r="AW2" s="500"/>
      <c r="AX2" s="500"/>
      <c r="AY2" s="1155">
        <v>0</v>
      </c>
    </row>
    <row customHeight="1" ht="23.25" hidden="1">
      <c r="A3" s="1363"/>
      <c r="B3" s="1363"/>
      <c r="C3" s="1363"/>
      <c r="D3" s="1363"/>
      <c r="E3" s="2259"/>
      <c r="F3" s="2258">
        <v>1</v>
      </c>
      <c r="G3" s="1363"/>
      <c r="H3" s="1363"/>
      <c r="I3" s="1363"/>
      <c r="J3" s="1363"/>
      <c r="K3" s="1363"/>
      <c r="L3" s="1364"/>
      <c r="M3" s="1365"/>
      <c r="N3" s="1365"/>
      <c r="O3" s="1365"/>
      <c r="P3" s="1487"/>
      <c r="Q3" s="352"/>
      <c r="R3" s="353"/>
      <c r="S3" s="1493">
        <f>INDEX(PT_DIFFERENTIATION_NUM_TER,MATCH(B3,PT_DIFFERENTIATION_TER_ID,0))</f>
      </c>
      <c r="T3" s="308" t="s">
        <v>399</v>
      </c>
      <c r="U3" s="300"/>
      <c r="V3" s="2242"/>
      <c r="W3" s="2243"/>
      <c r="X3" s="2243"/>
      <c r="Y3" s="2243"/>
      <c r="Z3" s="2243"/>
      <c r="AA3" s="2243"/>
      <c r="AB3" s="2243"/>
      <c r="AC3" s="2243"/>
      <c r="AD3" s="2243"/>
      <c r="AE3" s="2243"/>
      <c r="AF3" s="2244"/>
      <c r="AG3" s="2242">
        <f>INDEX(PT_DIFFERENTIATION_TER,MATCH(B3,PT_DIFFERENTIATION_TER_ID,0))</f>
      </c>
      <c r="AH3" s="2243"/>
      <c r="AI3" s="2243"/>
      <c r="AJ3" s="2243"/>
      <c r="AK3" s="2243"/>
      <c r="AL3" s="2243"/>
      <c r="AM3" s="2243"/>
      <c r="AN3" s="2243"/>
      <c r="AO3" s="2243"/>
      <c r="AP3" s="2243"/>
      <c r="AQ3" s="2243"/>
      <c r="AR3" s="2244"/>
      <c r="AS3" s="1258" t="s">
        <v>400</v>
      </c>
      <c r="AU3" s="500"/>
      <c r="AV3" s="500" t="str">
        <f>IF(T3="","",T3)</f>
        <v>Территория действия тарифа</v>
      </c>
      <c r="AW3" s="500"/>
      <c r="AX3" s="500"/>
      <c r="AY3" s="1155">
        <v>0</v>
      </c>
    </row>
    <row customHeight="1" ht="23.25" hidden="1">
      <c r="A4" s="1363"/>
      <c r="B4" s="1363"/>
      <c r="C4" s="1363"/>
      <c r="D4" s="1363"/>
      <c r="E4" s="2259"/>
      <c r="F4" s="2259"/>
      <c r="G4" s="2258">
        <v>1</v>
      </c>
      <c r="H4" s="1363"/>
      <c r="I4" s="1363"/>
      <c r="J4" s="1363"/>
      <c r="K4" s="1363"/>
      <c r="L4" s="1364"/>
      <c r="M4" s="1365"/>
      <c r="N4" s="1365"/>
      <c r="O4" s="1365"/>
      <c r="P4" s="354"/>
      <c r="Q4" s="352"/>
      <c r="R4" s="353"/>
      <c r="S4" s="1493">
        <f>INDEX(PT_DIFFERENTIATION_NUM_CS,MATCH(C4,PT_DIFFERENTIATION_CS_ID,0))</f>
      </c>
      <c r="T4" s="309" t="s">
        <v>532</v>
      </c>
      <c r="U4" s="300"/>
      <c r="V4" s="2242"/>
      <c r="W4" s="2243"/>
      <c r="X4" s="2243"/>
      <c r="Y4" s="2243"/>
      <c r="Z4" s="2243"/>
      <c r="AA4" s="2243"/>
      <c r="AB4" s="2243"/>
      <c r="AC4" s="2243"/>
      <c r="AD4" s="2243"/>
      <c r="AE4" s="2243"/>
      <c r="AF4" s="2244"/>
      <c r="AG4" s="2242">
        <f>INDEX(PT_DIFFERENTIATION_CS,MATCH(C4,PT_DIFFERENTIATION_CS_ID,0))</f>
      </c>
      <c r="AH4" s="2243"/>
      <c r="AI4" s="2243"/>
      <c r="AJ4" s="2243"/>
      <c r="AK4" s="2243"/>
      <c r="AL4" s="2243"/>
      <c r="AM4" s="2243"/>
      <c r="AN4" s="2243"/>
      <c r="AO4" s="2243"/>
      <c r="AP4" s="2243"/>
      <c r="AQ4" s="2243"/>
      <c r="AR4" s="2244"/>
      <c r="AS4" s="1258" t="s">
        <v>533</v>
      </c>
      <c r="AU4" s="500"/>
      <c r="AV4" s="500" t="str">
        <f>IF(T4="","",T4)</f>
        <v>Наименование централизованной системы горячего водоснабжения</v>
      </c>
      <c r="AW4" s="500"/>
      <c r="AX4" s="500"/>
      <c r="AY4" s="1155">
        <v>0</v>
      </c>
    </row>
    <row customHeight="1" ht="23.25" hidden="1">
      <c r="A5" s="1363"/>
      <c r="B5" s="1363"/>
      <c r="C5" s="1363"/>
      <c r="D5" s="1363"/>
      <c r="E5" s="2259"/>
      <c r="F5" s="2259"/>
      <c r="G5" s="2259"/>
      <c r="H5" s="2259"/>
      <c r="I5" s="2256">
        <f>S4&amp;".1"</f>
      </c>
      <c r="J5" s="1363"/>
      <c r="K5" s="1363"/>
      <c r="L5" s="1364"/>
      <c r="P5" s="2257">
        <v>1</v>
      </c>
      <c r="Q5" s="1481"/>
      <c r="R5" s="356"/>
      <c r="S5" s="1493">
        <f>$I5</f>
      </c>
      <c r="T5" s="285" t="s">
        <v>485</v>
      </c>
      <c r="U5" s="300"/>
      <c r="V5" s="2350"/>
      <c r="W5" s="2351"/>
      <c r="X5" s="2351"/>
      <c r="Y5" s="2351"/>
      <c r="Z5" s="2351"/>
      <c r="AA5" s="2351"/>
      <c r="AB5" s="2351"/>
      <c r="AC5" s="2351"/>
      <c r="AD5" s="2351"/>
      <c r="AE5" s="2351"/>
      <c r="AF5" s="2352"/>
      <c r="AG5" s="2353"/>
      <c r="AH5" s="2354"/>
      <c r="AI5" s="2354"/>
      <c r="AJ5" s="2354"/>
      <c r="AK5" s="2354"/>
      <c r="AL5" s="2354"/>
      <c r="AM5" s="2354"/>
      <c r="AN5" s="2354"/>
      <c r="AO5" s="2354"/>
      <c r="AP5" s="2354"/>
      <c r="AQ5" s="2354"/>
      <c r="AR5" s="2355"/>
      <c r="AS5" s="1258" t="s">
        <v>486</v>
      </c>
      <c r="AU5" s="500"/>
      <c r="AV5" s="500" t="str">
        <f>IF(T5="","",T5)</f>
        <v>Наименование признака дифференциации</v>
      </c>
      <c r="AW5" s="500"/>
      <c r="AX5" s="500"/>
      <c r="AY5" s="1155">
        <v>0</v>
      </c>
    </row>
    <row customHeight="1" ht="23.25" hidden="1">
      <c r="A6" s="1363"/>
      <c r="B6" s="1363"/>
      <c r="C6" s="1363"/>
      <c r="D6" s="1363"/>
      <c r="E6" s="2259"/>
      <c r="F6" s="2259"/>
      <c r="G6" s="2259"/>
      <c r="H6" s="2259"/>
      <c r="I6" s="2286"/>
      <c r="J6" s="2256">
        <f>I5&amp;".1"</f>
      </c>
      <c r="K6" s="1363"/>
      <c r="L6" s="1364" t="s">
        <v>408</v>
      </c>
      <c r="P6" s="2257"/>
      <c r="Q6" s="2257">
        <v>1</v>
      </c>
      <c r="R6" s="357"/>
      <c r="S6" s="1493">
        <f>$J6</f>
      </c>
      <c r="T6" s="286" t="s">
        <v>409</v>
      </c>
      <c r="U6" s="300"/>
      <c r="V6" s="2245"/>
      <c r="W6" s="2246"/>
      <c r="X6" s="2246"/>
      <c r="Y6" s="2246"/>
      <c r="Z6" s="2246"/>
      <c r="AA6" s="2246"/>
      <c r="AB6" s="2246"/>
      <c r="AC6" s="2246"/>
      <c r="AD6" s="2246"/>
      <c r="AE6" s="2246"/>
      <c r="AF6" s="2247"/>
      <c r="AG6" s="2245"/>
      <c r="AH6" s="2246"/>
      <c r="AI6" s="2246"/>
      <c r="AJ6" s="2246"/>
      <c r="AK6" s="2246"/>
      <c r="AL6" s="2246"/>
      <c r="AM6" s="2246"/>
      <c r="AN6" s="2246"/>
      <c r="AO6" s="2246"/>
      <c r="AP6" s="2246"/>
      <c r="AQ6" s="2246"/>
      <c r="AR6" s="2247"/>
      <c r="AS6" s="1307" t="s">
        <v>487</v>
      </c>
      <c r="AU6" s="500"/>
      <c r="AV6" s="500" t="str">
        <f>IF(T6="","",T6)</f>
        <v>Группа потребителей</v>
      </c>
      <c r="AW6" s="500"/>
      <c r="AX6" s="500"/>
      <c r="AY6" s="1155">
        <v>0</v>
      </c>
    </row>
    <row customHeight="1" ht="23.25" hidden="1">
      <c r="A7" s="1363"/>
      <c r="B7" s="1363"/>
      <c r="C7" s="1363"/>
      <c r="D7" s="1363"/>
      <c r="E7" s="2259"/>
      <c r="F7" s="2259"/>
      <c r="G7" s="2259"/>
      <c r="H7" s="2259"/>
      <c r="I7" s="2286"/>
      <c r="J7" s="2286"/>
      <c r="K7" s="2256">
        <f>J6&amp;".1"</f>
      </c>
      <c r="L7" s="1364"/>
      <c r="P7" s="2257"/>
      <c r="Q7" s="2257"/>
      <c r="R7" s="357">
        <v>1</v>
      </c>
      <c r="S7" s="1493">
        <f>$K7</f>
      </c>
      <c r="T7" s="1437"/>
      <c r="U7" s="300"/>
      <c r="V7" s="751"/>
      <c r="W7" s="751"/>
      <c r="X7" s="751"/>
      <c r="Y7" s="751"/>
      <c r="Z7" s="751"/>
      <c r="AA7" s="751"/>
      <c r="AB7" s="1257"/>
      <c r="AC7" s="2265"/>
      <c r="AD7" s="2107" t="s">
        <v>66</v>
      </c>
      <c r="AE7" s="2265"/>
      <c r="AF7" s="2107" t="s">
        <v>66</v>
      </c>
      <c r="AG7" s="751"/>
      <c r="AH7" s="751"/>
      <c r="AI7" s="751"/>
      <c r="AJ7" s="751"/>
      <c r="AK7" s="751"/>
      <c r="AL7" s="751"/>
      <c r="AM7" s="1257"/>
      <c r="AN7" s="2265"/>
      <c r="AO7" s="2107" t="s">
        <v>66</v>
      </c>
      <c r="AP7" s="2287"/>
      <c r="AQ7" s="2107" t="s">
        <v>66</v>
      </c>
      <c r="AR7" s="1438"/>
      <c r="AS7" s="234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7" s="511">
        <f>STRCHECKDATE(V8:AR8)</f>
      </c>
      <c r="AU7" s="500"/>
      <c r="AV7" s="500" t="str">
        <f>IF(T7="","",T7)</f>
        <v/>
      </c>
      <c r="AW7" s="500"/>
      <c r="AX7" s="500"/>
      <c r="AY7" s="1155">
        <v>0</v>
      </c>
    </row>
    <row customHeight="1" ht="14.25" hidden="1">
      <c r="A8" s="1363"/>
      <c r="B8" s="1363"/>
      <c r="C8" s="1363"/>
      <c r="D8" s="1363"/>
      <c r="E8" s="2259"/>
      <c r="F8" s="2259"/>
      <c r="G8" s="2259"/>
      <c r="H8" s="2259"/>
      <c r="I8" s="2286"/>
      <c r="J8" s="2286"/>
      <c r="K8" s="2256"/>
      <c r="L8" s="1364"/>
      <c r="P8" s="2257"/>
      <c r="Q8" s="2257"/>
      <c r="R8" s="357"/>
      <c r="S8" s="1490"/>
      <c r="T8" s="300"/>
      <c r="U8" s="300"/>
      <c r="V8" s="325"/>
      <c r="W8" s="325"/>
      <c r="X8" s="325"/>
      <c r="Y8" s="325"/>
      <c r="Z8" s="325"/>
      <c r="AA8" s="325"/>
      <c r="AB8" s="328" t="str">
        <f>AC7&amp;"-"&amp;AE7</f>
        <v>-</v>
      </c>
      <c r="AC8" s="2266"/>
      <c r="AD8" s="2107"/>
      <c r="AE8" s="2266"/>
      <c r="AF8" s="2107"/>
      <c r="AG8" s="325"/>
      <c r="AH8" s="325"/>
      <c r="AI8" s="325"/>
      <c r="AJ8" s="325"/>
      <c r="AK8" s="325"/>
      <c r="AL8" s="325"/>
      <c r="AM8" s="328" t="str">
        <f>AN7&amp;"-"&amp;AP7</f>
        <v>-</v>
      </c>
      <c r="AN8" s="2266"/>
      <c r="AO8" s="2107"/>
      <c r="AP8" s="2288"/>
      <c r="AQ8" s="2107"/>
      <c r="AR8" s="1439"/>
      <c r="AS8" s="2349"/>
      <c r="AU8" s="500"/>
      <c r="AV8" s="500" t="str">
        <f>IF(T8="","",T8)</f>
        <v/>
      </c>
      <c r="AW8" s="500"/>
      <c r="AX8" s="500"/>
      <c r="AY8" s="1155">
        <v>0</v>
      </c>
    </row>
    <row customHeight="1" ht="21" hidden="1">
      <c r="A9" s="1363"/>
      <c r="B9" s="1363"/>
      <c r="C9" s="1363"/>
      <c r="D9" s="1363"/>
      <c r="E9" s="2259"/>
      <c r="F9" s="2259"/>
      <c r="G9" s="2259"/>
      <c r="H9" s="2259"/>
      <c r="I9" s="2286"/>
      <c r="J9" s="2256"/>
      <c r="K9" s="1363"/>
      <c r="L9" s="1364"/>
      <c r="P9" s="2257"/>
      <c r="Q9" s="2257"/>
      <c r="R9" s="356"/>
      <c r="S9" s="1278"/>
      <c r="T9" s="287" t="s">
        <v>488</v>
      </c>
      <c r="U9" s="367"/>
      <c r="V9" s="367"/>
      <c r="W9" s="600"/>
      <c r="X9" s="600"/>
      <c r="Y9" s="600"/>
      <c r="Z9" s="600"/>
      <c r="AA9" s="600"/>
      <c r="AB9" s="367"/>
      <c r="AC9" s="367"/>
      <c r="AD9" s="367"/>
      <c r="AE9" s="367"/>
      <c r="AF9" s="367"/>
      <c r="AG9" s="367"/>
      <c r="AH9" s="600"/>
      <c r="AI9" s="600"/>
      <c r="AJ9" s="600"/>
      <c r="AK9" s="600"/>
      <c r="AL9" s="600"/>
      <c r="AM9" s="367"/>
      <c r="AN9" s="367"/>
      <c r="AO9" s="367"/>
      <c r="AP9" s="367"/>
      <c r="AQ9" s="367"/>
      <c r="AR9" s="367"/>
      <c r="AS9" s="1258" t="s">
        <v>489</v>
      </c>
      <c r="AU9" s="500"/>
      <c r="AV9" s="500" t="str">
        <f>IF(T9="","",T9)</f>
        <v>Добавить значение признака дифференциации</v>
      </c>
      <c r="AW9" s="500"/>
      <c r="AX9" s="500"/>
      <c r="AY9" s="1155">
        <v>0</v>
      </c>
    </row>
    <row customHeight="1" ht="21" hidden="1">
      <c r="A10" s="1363"/>
      <c r="B10" s="1363"/>
      <c r="C10" s="1363"/>
      <c r="D10" s="1363"/>
      <c r="E10" s="2259"/>
      <c r="F10" s="2259"/>
      <c r="G10" s="2259"/>
      <c r="H10" s="2259"/>
      <c r="I10" s="2256"/>
      <c r="J10" s="1363"/>
      <c r="K10" s="1363"/>
      <c r="L10" s="1364"/>
      <c r="P10" s="2257"/>
      <c r="Q10" s="1481"/>
      <c r="R10" s="356"/>
      <c r="S10" s="1278"/>
      <c r="T10" s="365" t="s">
        <v>414</v>
      </c>
      <c r="U10" s="367"/>
      <c r="V10" s="367"/>
      <c r="W10" s="600"/>
      <c r="X10" s="600"/>
      <c r="Y10" s="600"/>
      <c r="Z10" s="600"/>
      <c r="AA10" s="600"/>
      <c r="AB10" s="367"/>
      <c r="AC10" s="367"/>
      <c r="AD10" s="367"/>
      <c r="AE10" s="367"/>
      <c r="AF10" s="366"/>
      <c r="AG10" s="367"/>
      <c r="AH10" s="600"/>
      <c r="AI10" s="600"/>
      <c r="AJ10" s="600"/>
      <c r="AK10" s="600"/>
      <c r="AL10" s="600"/>
      <c r="AM10" s="367"/>
      <c r="AN10" s="367"/>
      <c r="AO10" s="367"/>
      <c r="AP10" s="367"/>
      <c r="AQ10" s="366"/>
      <c r="AR10" s="367"/>
      <c r="AS10" s="1440"/>
      <c r="AU10" s="500"/>
      <c r="AV10" s="500" t="str">
        <f>IF(T10="","",T10)</f>
        <v>Добавить группу потребителей</v>
      </c>
      <c r="AW10" s="500"/>
      <c r="AX10" s="500"/>
      <c r="AY10" s="1155">
        <v>0</v>
      </c>
    </row>
    <row customHeight="1" ht="21" hidden="1">
      <c r="A11" s="1363"/>
      <c r="B11" s="1363"/>
      <c r="C11" s="1363"/>
      <c r="D11" s="1363"/>
      <c r="E11" s="2259"/>
      <c r="F11" s="2259"/>
      <c r="G11" s="2259"/>
      <c r="H11" s="2258"/>
      <c r="I11" s="1363"/>
      <c r="J11" s="1363"/>
      <c r="K11" s="1363"/>
      <c r="L11" s="1364"/>
      <c r="M11" s="1365"/>
      <c r="N11" s="1365"/>
      <c r="O11" s="537"/>
      <c r="P11" s="360"/>
      <c r="Q11" s="375"/>
      <c r="R11" s="355"/>
      <c r="S11" s="1278"/>
      <c r="T11" s="372" t="s">
        <v>490</v>
      </c>
      <c r="U11" s="367"/>
      <c r="V11" s="367"/>
      <c r="W11" s="600"/>
      <c r="X11" s="600"/>
      <c r="Y11" s="600"/>
      <c r="Z11" s="600"/>
      <c r="AA11" s="600"/>
      <c r="AB11" s="367"/>
      <c r="AC11" s="367"/>
      <c r="AD11" s="367"/>
      <c r="AE11" s="367"/>
      <c r="AF11" s="366"/>
      <c r="AG11" s="367"/>
      <c r="AH11" s="600"/>
      <c r="AI11" s="600"/>
      <c r="AJ11" s="600"/>
      <c r="AK11" s="600"/>
      <c r="AL11" s="600"/>
      <c r="AM11" s="367"/>
      <c r="AN11" s="367"/>
      <c r="AO11" s="367"/>
      <c r="AP11" s="367"/>
      <c r="AQ11" s="366"/>
      <c r="AR11" s="367"/>
      <c r="AS11" s="303"/>
      <c r="AU11" s="500"/>
      <c r="AV11" s="500" t="str">
        <f>IF(T11="","",T11)</f>
        <v>Добавить наименование признака дифференциации</v>
      </c>
      <c r="AW11" s="500"/>
      <c r="AX11" s="500"/>
      <c r="AY11" s="1155">
        <v>0</v>
      </c>
    </row>
    <row s="1642" customFormat="1" customHeight="1" ht="14.25" hidden="1">
      <c r="A12" s="1343"/>
      <c r="B12" s="1343"/>
      <c r="C12" s="1314"/>
      <c r="D12" s="1314"/>
      <c r="E12" s="2259"/>
      <c r="F12" s="2258"/>
      <c r="G12" s="1314"/>
      <c r="H12" s="1314"/>
      <c r="I12" s="1314"/>
      <c r="J12" s="1314"/>
      <c r="K12" s="1314"/>
      <c r="L12" s="1494"/>
      <c r="M12" s="1321"/>
      <c r="N12" s="1321"/>
      <c r="P12" s="1316"/>
      <c r="Q12" s="1317"/>
      <c r="R12" s="1316"/>
      <c r="S12" s="1322"/>
      <c r="T12" s="1325" t="s">
        <v>417</v>
      </c>
      <c r="U12" s="1324"/>
      <c r="V12" s="1324"/>
      <c r="W12" s="1324"/>
      <c r="X12" s="1324"/>
      <c r="Y12" s="1324"/>
      <c r="Z12" s="1324"/>
      <c r="AA12" s="1324"/>
      <c r="AB12" s="1324"/>
      <c r="AC12" s="1324"/>
      <c r="AD12" s="1324"/>
      <c r="AE12" s="1324"/>
      <c r="AF12" s="1324"/>
      <c r="AG12" s="1324"/>
      <c r="AH12" s="1324"/>
      <c r="AI12" s="1324"/>
      <c r="AJ12" s="1324"/>
      <c r="AK12" s="1324"/>
      <c r="AL12" s="1324"/>
      <c r="AM12" s="1324"/>
      <c r="AN12" s="1324"/>
      <c r="AO12" s="1324"/>
      <c r="AP12" s="1324"/>
      <c r="AQ12" s="1324"/>
      <c r="AR12" s="1324"/>
      <c r="AS12" s="1324"/>
      <c r="AU12" s="789"/>
      <c r="AV12" s="789" t="str">
        <f>IF(T12="","",T12)</f>
        <v>Добавить централизованную систему для дифференциации</v>
      </c>
      <c r="AW12" s="789"/>
      <c r="AX12" s="789"/>
      <c r="AY12" s="518">
        <v>0</v>
      </c>
    </row>
    <row s="1642" customFormat="1" customHeight="1" ht="14.25" hidden="1">
      <c r="A13" s="1343"/>
      <c r="B13" s="1343"/>
      <c r="C13" s="1343"/>
      <c r="D13" s="1343"/>
      <c r="E13" s="2258"/>
      <c r="F13" s="1343"/>
      <c r="G13" s="1343"/>
      <c r="H13" s="1343"/>
      <c r="I13" s="1343"/>
      <c r="J13" s="1343"/>
      <c r="K13" s="1343"/>
      <c r="L13" s="1346"/>
      <c r="M13" s="1321"/>
      <c r="N13" s="1321"/>
      <c r="O13" s="518"/>
      <c r="P13" s="380"/>
      <c r="Q13" s="1344"/>
      <c r="R13" s="380"/>
      <c r="S13" s="1322"/>
      <c r="T13" s="1325" t="s">
        <v>418</v>
      </c>
      <c r="U13" s="1324"/>
      <c r="V13" s="1324"/>
      <c r="W13" s="1324"/>
      <c r="X13" s="1324"/>
      <c r="Y13" s="1324"/>
      <c r="Z13" s="1324"/>
      <c r="AA13" s="1324"/>
      <c r="AB13" s="1324"/>
      <c r="AC13" s="1324"/>
      <c r="AD13" s="1324"/>
      <c r="AE13" s="1324"/>
      <c r="AF13" s="1324"/>
      <c r="AG13" s="1324"/>
      <c r="AH13" s="1324"/>
      <c r="AI13" s="1324"/>
      <c r="AJ13" s="1324"/>
      <c r="AK13" s="1324"/>
      <c r="AL13" s="1324"/>
      <c r="AM13" s="1324"/>
      <c r="AN13" s="1324"/>
      <c r="AO13" s="1324"/>
      <c r="AP13" s="1324"/>
      <c r="AQ13" s="1324"/>
      <c r="AR13" s="1324"/>
      <c r="AS13" s="1324"/>
      <c r="AU13" s="500"/>
      <c r="AV13" s="500" t="str">
        <f>IF(T13="","",T13)</f>
        <v>Добавить территорию для дифференциации</v>
      </c>
      <c r="AW13" s="500"/>
      <c r="AX13" s="500"/>
      <c r="AY13" s="511">
        <v>0</v>
      </c>
    </row>
    <row customHeight="1" ht="14.25" hidden="1">
      <c r="AF14" s="327"/>
      <c r="AQ14" s="327"/>
      <c r="AY14" s="1155">
        <v>0</v>
      </c>
    </row>
    <row customHeight="1" ht="14.25" hidden="1">
      <c r="AG15" s="1360"/>
      <c r="AH15" s="1360"/>
      <c r="AI15" s="1360"/>
      <c r="AJ15" s="1360"/>
      <c r="AK15" s="1360"/>
      <c r="AL15" s="1360"/>
      <c r="AM15" s="1361"/>
      <c r="AN15" s="2267"/>
      <c r="AO15" s="2268" t="s">
        <v>66</v>
      </c>
      <c r="AP15" s="2267"/>
      <c r="AQ15" s="2268" t="s">
        <v>66</v>
      </c>
      <c r="AY15" s="1155">
        <v>0</v>
      </c>
    </row>
    <row customHeight="1" ht="14.25" hidden="1">
      <c r="AG16" s="1360"/>
      <c r="AH16" s="1360"/>
      <c r="AI16" s="1360"/>
      <c r="AJ16" s="1360"/>
      <c r="AK16" s="1360"/>
      <c r="AL16" s="1360"/>
      <c r="AM16" s="328" t="str">
        <f>AN15&amp;"-"&amp;AP15</f>
        <v>-</v>
      </c>
      <c r="AN16" s="2268"/>
      <c r="AO16" s="2268"/>
      <c r="AP16" s="2268"/>
      <c r="AQ16" s="2268"/>
      <c r="AY16" s="1155">
        <v>0</v>
      </c>
    </row>
    <row customHeight="1" ht="14.25" hidden="1">
      <c r="AQ17" s="327"/>
      <c r="AY17" s="1155">
        <v>0</v>
      </c>
    </row>
    <row s="1366" customFormat="1" customHeight="1" ht="22.5" hidden="1">
      <c r="L18" s="1478"/>
      <c r="M18" s="1362"/>
      <c r="N18" s="1362"/>
      <c r="O18" s="1367" t="s">
        <v>419</v>
      </c>
      <c r="P18" s="1362"/>
      <c r="Q18" s="1371"/>
      <c r="R18" s="1371"/>
      <c r="S18" s="729"/>
      <c r="W18" s="1366"/>
      <c r="X18" s="1366"/>
      <c r="Y18" s="1366"/>
      <c r="Z18" s="1366"/>
      <c r="AA18" s="1366"/>
      <c r="AC18" s="1367"/>
      <c r="AE18" s="1367"/>
      <c r="AF18" s="1366"/>
      <c r="AH18" s="1366"/>
      <c r="AI18" s="1366"/>
      <c r="AJ18" s="1366"/>
      <c r="AK18" s="1366"/>
      <c r="AL18" s="1366"/>
      <c r="AN18" s="1367"/>
      <c r="AP18" s="1367"/>
      <c r="AQ18" s="1366"/>
      <c r="AT18" s="511"/>
      <c r="AU18" s="511"/>
      <c r="AV18" s="511"/>
      <c r="AW18" s="511"/>
      <c r="AX18" s="511"/>
      <c r="AY18" s="1160">
        <v>0</v>
      </c>
    </row>
    <row s="1366" customFormat="1" customHeight="1" ht="14.25" hidden="1">
      <c r="L19" s="1478"/>
      <c r="M19" s="1362"/>
      <c r="N19" s="1362"/>
      <c r="O19" s="1362"/>
      <c r="P19" s="1362"/>
      <c r="Q19" s="1371"/>
      <c r="R19" s="1371"/>
      <c r="S19" s="729"/>
      <c r="W19" s="1366"/>
      <c r="X19" s="1366"/>
      <c r="Y19" s="1366"/>
      <c r="Z19" s="1366"/>
      <c r="AA19" s="1366"/>
      <c r="AF19" s="1366"/>
      <c r="AH19" s="1366"/>
      <c r="AI19" s="1366"/>
      <c r="AJ19" s="1366"/>
      <c r="AK19" s="1366"/>
      <c r="AL19" s="1366"/>
      <c r="AQ19" s="1366"/>
      <c r="AT19" s="511"/>
      <c r="AU19" s="511"/>
      <c r="AV19" s="511"/>
      <c r="AW19" s="511"/>
      <c r="AX19" s="511"/>
      <c r="AY19" s="1160">
        <v>0</v>
      </c>
    </row>
    <row s="1366" customFormat="1" customHeight="1" ht="12" hidden="1">
      <c r="L20" s="1478"/>
      <c r="M20" s="1362"/>
      <c r="N20" s="1362"/>
      <c r="O20" s="1364" t="s">
        <v>420</v>
      </c>
      <c r="P20" s="1362"/>
      <c r="Q20" s="1442"/>
      <c r="R20" s="1442"/>
      <c r="S20" s="729"/>
      <c r="T20" s="1160" t="s">
        <v>421</v>
      </c>
      <c r="W20" s="1366"/>
      <c r="X20" s="1366"/>
      <c r="Y20" s="1366"/>
      <c r="Z20" s="1366"/>
      <c r="AA20" s="1366"/>
      <c r="AD20" s="186" t="s">
        <v>422</v>
      </c>
      <c r="AF20" s="186" t="s">
        <v>423</v>
      </c>
      <c r="AG20" s="1160" t="s">
        <v>421</v>
      </c>
      <c r="AH20" s="1366"/>
      <c r="AI20" s="1366"/>
      <c r="AJ20" s="1366"/>
      <c r="AK20" s="1366"/>
      <c r="AL20" s="1366"/>
      <c r="AO20" s="186" t="s">
        <v>424</v>
      </c>
      <c r="AQ20" s="186" t="s">
        <v>423</v>
      </c>
      <c r="AY20" s="1160">
        <v>0</v>
      </c>
    </row>
    <row customHeight="1" ht="14.25" hidden="1">
      <c r="O21" s="1364"/>
      <c r="AY21" s="1155">
        <v>0</v>
      </c>
    </row>
    <row customHeight="1" ht="14.25" hidden="1">
      <c r="O22" s="1364"/>
      <c r="AY22" s="1155">
        <v>0</v>
      </c>
    </row>
    <row customHeight="1" ht="14.699999999999998">
      <c r="Q23" s="376"/>
      <c r="R23" s="376"/>
      <c r="S23" s="1275"/>
      <c r="T23" s="363"/>
      <c r="U23" s="363"/>
      <c r="V23" s="509"/>
      <c r="W23" s="1635"/>
      <c r="X23" s="1635"/>
      <c r="Y23" s="1635"/>
      <c r="Z23" s="1635"/>
      <c r="AA23" s="1635"/>
      <c r="AB23" s="509"/>
      <c r="AC23" s="509"/>
      <c r="AD23" s="509"/>
      <c r="AE23" s="509"/>
      <c r="AF23" s="509"/>
      <c r="AG23" s="509"/>
      <c r="AH23" s="1635"/>
      <c r="AI23" s="1635"/>
      <c r="AJ23" s="1635"/>
      <c r="AK23" s="1635"/>
      <c r="AL23" s="1635"/>
      <c r="AM23" s="509"/>
      <c r="AN23" s="509"/>
      <c r="AO23" s="509"/>
      <c r="AP23" s="509"/>
      <c r="AQ23" s="509"/>
      <c r="AY23" s="1155">
        <v>14</v>
      </c>
    </row>
    <row customHeight="1" ht="26.25">
      <c r="Q24" s="376"/>
      <c r="R24" s="376"/>
      <c r="S24" s="2248" t="str">
        <f>IF(TEMPLATE_GROUP="P",PT_P_FORM_HOTVSNA_4_NAME_FORM,PT_R_FORM_HOTVSNA_16_NAME_FORM)</f>
        <v>Форма 13. Информация о предложении организации горячего водоснабжения об установлении расчетной величины тарифов в сфере горячего водоснабжения на очередной период регулирования</v>
      </c>
      <c r="T24" s="2248"/>
      <c r="U24" s="2248"/>
      <c r="V24" s="2248"/>
      <c r="W24" s="2248"/>
      <c r="X24" s="2248"/>
      <c r="Y24" s="2248"/>
      <c r="Z24" s="2248"/>
      <c r="AA24" s="2248"/>
      <c r="AB24" s="2248"/>
      <c r="AC24" s="2248"/>
      <c r="AD24" s="2248"/>
      <c r="AE24" s="2248"/>
      <c r="AF24" s="2248"/>
      <c r="AG24" s="2248"/>
      <c r="AH24" s="2248"/>
      <c r="AI24" s="2248"/>
      <c r="AJ24" s="2248"/>
      <c r="AK24" s="2248"/>
      <c r="AL24" s="2248"/>
      <c r="AM24" s="2248"/>
      <c r="AN24" s="2248"/>
      <c r="AO24" s="2248"/>
      <c r="AP24" s="2248"/>
      <c r="AQ24" s="1243"/>
      <c r="AY24" s="1155">
        <v>25</v>
      </c>
    </row>
    <row customHeight="1" ht="14.699999999999998">
      <c r="Q25" s="376"/>
      <c r="R25" s="376"/>
      <c r="S25" s="2249" t="str">
        <f>IF(org=0,"Не определено",org)</f>
        <v>ПАО "ОГК-2"</v>
      </c>
      <c r="T25" s="2249"/>
      <c r="U25" s="2249"/>
      <c r="V25" s="2249"/>
      <c r="W25" s="2249"/>
      <c r="X25" s="2249"/>
      <c r="Y25" s="2249"/>
      <c r="Z25" s="2249"/>
      <c r="AA25" s="2249"/>
      <c r="AB25" s="2249"/>
      <c r="AC25" s="2249"/>
      <c r="AD25" s="2249"/>
      <c r="AE25" s="2249"/>
      <c r="AF25" s="2249"/>
      <c r="AG25" s="2249"/>
      <c r="AH25" s="2249"/>
      <c r="AI25" s="2249"/>
      <c r="AJ25" s="2249"/>
      <c r="AK25" s="2249"/>
      <c r="AL25" s="2249"/>
      <c r="AM25" s="2249"/>
      <c r="AN25" s="2249"/>
      <c r="AO25" s="2249"/>
      <c r="AP25" s="2249"/>
      <c r="AQ25" s="1243"/>
      <c r="AY25" s="1155">
        <v>14</v>
      </c>
    </row>
    <row customHeight="1" ht="14.25" hidden="1">
      <c r="Q26" s="376"/>
      <c r="R26" s="376"/>
      <c r="S26" s="1275"/>
      <c r="T26" s="363"/>
      <c r="U26" s="363"/>
      <c r="V26" s="322"/>
      <c r="W26" s="322"/>
      <c r="X26" s="322"/>
      <c r="Y26" s="322"/>
      <c r="Z26" s="322"/>
      <c r="AA26" s="322"/>
      <c r="AB26" s="322"/>
      <c r="AC26" s="322"/>
      <c r="AD26" s="322"/>
      <c r="AE26" s="322"/>
      <c r="AF26" s="322"/>
      <c r="AG26" s="322"/>
      <c r="AH26" s="322"/>
      <c r="AI26" s="322"/>
      <c r="AJ26" s="322"/>
      <c r="AK26" s="322"/>
      <c r="AL26" s="322"/>
      <c r="AM26" s="322"/>
      <c r="AN26" s="322"/>
      <c r="AO26" s="322"/>
      <c r="AP26" s="322"/>
      <c r="AQ26" s="322"/>
      <c r="AR26" s="509"/>
      <c r="AY26" s="1155">
        <v>0</v>
      </c>
    </row>
    <row s="1853" customFormat="1" customHeight="1" ht="25.5" hidden="1">
      <c r="A27" s="1368"/>
      <c r="B27" s="1368"/>
      <c r="C27" s="1368"/>
      <c r="D27" s="1368"/>
      <c r="E27" s="1368"/>
      <c r="F27" s="1368"/>
      <c r="G27" s="1368"/>
      <c r="H27" s="1368"/>
      <c r="I27" s="1368"/>
      <c r="J27" s="1368"/>
      <c r="K27" s="1368"/>
      <c r="L27" s="1369"/>
      <c r="M27" s="1368"/>
      <c r="N27" s="1368"/>
      <c r="O27" s="1368"/>
      <c r="S27" s="2250" t="s">
        <v>42</v>
      </c>
      <c r="T27" s="2250"/>
      <c r="U27" s="1372"/>
      <c r="V27" s="2251" t="str">
        <f>IF(TITLE_NAME_OR_PR_CHANGE="",IF(TITLE_NAME_OR_PR="","",TITLE_NAME_OR_PR),TITLE_NAME_OR_PR_CHANGE)</f>
        <v/>
      </c>
      <c r="W27" s="2251"/>
      <c r="X27" s="2251"/>
      <c r="Y27" s="2251"/>
      <c r="Z27" s="2251"/>
      <c r="AA27" s="2251"/>
      <c r="AB27" s="2251"/>
      <c r="AC27" s="2251"/>
      <c r="AD27" s="2251"/>
      <c r="AE27" s="2251"/>
      <c r="AF27" s="326"/>
      <c r="AG27" s="2251" t="str">
        <f>IF(TITLE_NAME_OR_PR_CHANGE="",IF(TITLE_NAME_OR_PR="","",TITLE_NAME_OR_PR),TITLE_NAME_OR_PR_CHANGE)</f>
        <v/>
      </c>
      <c r="AH27" s="2251"/>
      <c r="AI27" s="2251"/>
      <c r="AJ27" s="2251"/>
      <c r="AK27" s="2251"/>
      <c r="AL27" s="2251"/>
      <c r="AM27" s="2251"/>
      <c r="AN27" s="2251"/>
      <c r="AO27" s="2251"/>
      <c r="AP27" s="2251"/>
      <c r="AQ27" s="326"/>
      <c r="AR27" s="326"/>
      <c r="AS27" s="280"/>
      <c r="AT27" s="368"/>
      <c r="AU27" s="368"/>
      <c r="AV27" s="368"/>
      <c r="AW27" s="368"/>
      <c r="AX27" s="368"/>
      <c r="AY27" s="418">
        <v>0</v>
      </c>
    </row>
    <row s="1853" customFormat="1" customHeight="1" ht="18.75" hidden="1">
      <c r="A28" s="1368"/>
      <c r="B28" s="1368"/>
      <c r="C28" s="1368"/>
      <c r="D28" s="1368"/>
      <c r="E28" s="1368"/>
      <c r="F28" s="1368"/>
      <c r="G28" s="1368"/>
      <c r="H28" s="1368"/>
      <c r="I28" s="1368"/>
      <c r="J28" s="1368"/>
      <c r="K28" s="1368"/>
      <c r="L28" s="1369"/>
      <c r="M28" s="1368"/>
      <c r="N28" s="1368"/>
      <c r="O28" s="1368"/>
      <c r="S28" s="2250" t="s">
        <v>425</v>
      </c>
      <c r="T28" s="2250"/>
      <c r="U28" s="1372"/>
      <c r="V28" s="2264" t="str">
        <f>IF(TITLE_DATE_PR_CHANGE="",IF(TITLE_DATE_PR="","",TITLE_DATE_PR),TITLE_DATE_PR_CHANGE)</f>
        <v/>
      </c>
      <c r="W28" s="2264"/>
      <c r="X28" s="2264"/>
      <c r="Y28" s="2264"/>
      <c r="Z28" s="2264"/>
      <c r="AA28" s="2264"/>
      <c r="AB28" s="2264"/>
      <c r="AC28" s="2264"/>
      <c r="AD28" s="2264"/>
      <c r="AE28" s="2264"/>
      <c r="AF28" s="326"/>
      <c r="AG28" s="2264" t="str">
        <f>IF(TITLE_DATE_PR_CHANGE="",IF(TITLE_DATE_PR="","",TITLE_DATE_PR),TITLE_DATE_PR_CHANGE)</f>
        <v/>
      </c>
      <c r="AH28" s="2264"/>
      <c r="AI28" s="2264"/>
      <c r="AJ28" s="2264"/>
      <c r="AK28" s="2264"/>
      <c r="AL28" s="2264"/>
      <c r="AM28" s="2264"/>
      <c r="AN28" s="2264"/>
      <c r="AO28" s="2264"/>
      <c r="AP28" s="2264"/>
      <c r="AQ28" s="326"/>
      <c r="AR28" s="326"/>
      <c r="AS28" s="280"/>
      <c r="AT28" s="368"/>
      <c r="AU28" s="368"/>
      <c r="AV28" s="368"/>
      <c r="AW28" s="368"/>
      <c r="AX28" s="368"/>
      <c r="AY28" s="418">
        <v>0</v>
      </c>
    </row>
    <row s="1853" customFormat="1" customHeight="1" ht="18.75" hidden="1">
      <c r="A29" s="1368"/>
      <c r="B29" s="1368"/>
      <c r="C29" s="1368"/>
      <c r="D29" s="1368"/>
      <c r="E29" s="1368"/>
      <c r="F29" s="1368"/>
      <c r="G29" s="1368"/>
      <c r="H29" s="1368"/>
      <c r="I29" s="1368"/>
      <c r="J29" s="1368"/>
      <c r="K29" s="1368"/>
      <c r="L29" s="1369"/>
      <c r="M29" s="1368"/>
      <c r="N29" s="1368"/>
      <c r="O29" s="1368"/>
      <c r="S29" s="2250" t="s">
        <v>426</v>
      </c>
      <c r="T29" s="2250"/>
      <c r="U29" s="1372"/>
      <c r="V29" s="2251" t="str">
        <f>IF(TITLE_NUMBER_PR_CHANGE="",IF(TITLE_NUMBER_PR="","",TITLE_NUMBER_PR),TITLE_NUMBER_PR_CHANGE)</f>
        <v/>
      </c>
      <c r="W29" s="2251"/>
      <c r="X29" s="2251"/>
      <c r="Y29" s="2251"/>
      <c r="Z29" s="2251"/>
      <c r="AA29" s="2251"/>
      <c r="AB29" s="2251"/>
      <c r="AC29" s="2251"/>
      <c r="AD29" s="2251"/>
      <c r="AE29" s="2251"/>
      <c r="AF29" s="326"/>
      <c r="AG29" s="2251" t="str">
        <f>IF(TITLE_NUMBER_PR_CHANGE="",IF(TITLE_NUMBER_PR="","",TITLE_NUMBER_PR),TITLE_NUMBER_PR_CHANGE)</f>
        <v/>
      </c>
      <c r="AH29" s="2251"/>
      <c r="AI29" s="2251"/>
      <c r="AJ29" s="2251"/>
      <c r="AK29" s="2251"/>
      <c r="AL29" s="2251"/>
      <c r="AM29" s="2251"/>
      <c r="AN29" s="2251"/>
      <c r="AO29" s="2251"/>
      <c r="AP29" s="2251"/>
      <c r="AQ29" s="326"/>
      <c r="AR29" s="326"/>
      <c r="AS29" s="280"/>
      <c r="AT29" s="368"/>
      <c r="AU29" s="368"/>
      <c r="AV29" s="368"/>
      <c r="AW29" s="368"/>
      <c r="AX29" s="368"/>
      <c r="AY29" s="418">
        <v>0</v>
      </c>
    </row>
    <row s="1853" customFormat="1" customHeight="1" ht="18.75" hidden="1">
      <c r="A30" s="1368"/>
      <c r="B30" s="1368"/>
      <c r="C30" s="1368"/>
      <c r="D30" s="1368"/>
      <c r="E30" s="1368"/>
      <c r="F30" s="1368"/>
      <c r="G30" s="1368"/>
      <c r="H30" s="1368"/>
      <c r="I30" s="1368"/>
      <c r="J30" s="1368"/>
      <c r="K30" s="1368"/>
      <c r="L30" s="1369"/>
      <c r="M30" s="1368"/>
      <c r="N30" s="1368"/>
      <c r="O30" s="1368"/>
      <c r="S30" s="2250" t="s">
        <v>43</v>
      </c>
      <c r="T30" s="2250"/>
      <c r="U30" s="1372"/>
      <c r="V30" s="2251" t="str">
        <f>IF(TITLE_IST_PUB_CHANGE="",IF(TITLE_IST_PUB="","",TITLE_IST_PUB),TITLE_IST_PUB_CHANGE)</f>
        <v/>
      </c>
      <c r="W30" s="2251"/>
      <c r="X30" s="2251"/>
      <c r="Y30" s="2251"/>
      <c r="Z30" s="2251"/>
      <c r="AA30" s="2251"/>
      <c r="AB30" s="2251"/>
      <c r="AC30" s="2251"/>
      <c r="AD30" s="2251"/>
      <c r="AE30" s="2251"/>
      <c r="AF30" s="326"/>
      <c r="AG30" s="2251" t="str">
        <f>IF(TITLE_IST_PUB_CHANGE="",IF(TITLE_IST_PUB="","",TITLE_IST_PUB),TITLE_IST_PUB_CHANGE)</f>
        <v/>
      </c>
      <c r="AH30" s="2251"/>
      <c r="AI30" s="2251"/>
      <c r="AJ30" s="2251"/>
      <c r="AK30" s="2251"/>
      <c r="AL30" s="2251"/>
      <c r="AM30" s="2251"/>
      <c r="AN30" s="2251"/>
      <c r="AO30" s="2251"/>
      <c r="AP30" s="2251"/>
      <c r="AQ30" s="326"/>
      <c r="AR30" s="326"/>
      <c r="AS30" s="280"/>
      <c r="AT30" s="368"/>
      <c r="AU30" s="368"/>
      <c r="AV30" s="368"/>
      <c r="AW30" s="368"/>
      <c r="AX30" s="368"/>
      <c r="AY30" s="418">
        <v>0</v>
      </c>
    </row>
    <row customHeight="1" ht="14.25" hidden="1">
      <c r="Q31" s="376"/>
      <c r="R31" s="376"/>
      <c r="S31" s="1275"/>
      <c r="T31" s="363"/>
      <c r="U31" s="363"/>
      <c r="V31" s="322"/>
      <c r="W31" s="322"/>
      <c r="X31" s="322"/>
      <c r="Y31" s="322"/>
      <c r="Z31" s="322"/>
      <c r="AA31" s="322"/>
      <c r="AB31" s="322"/>
      <c r="AC31" s="322"/>
      <c r="AD31" s="322"/>
      <c r="AE31" s="322"/>
      <c r="AF31" s="322"/>
      <c r="AG31" s="322"/>
      <c r="AH31" s="322"/>
      <c r="AI31" s="322"/>
      <c r="AJ31" s="322"/>
      <c r="AK31" s="322"/>
      <c r="AL31" s="322"/>
      <c r="AM31" s="322"/>
      <c r="AN31" s="322"/>
      <c r="AO31" s="322"/>
      <c r="AP31" s="322"/>
      <c r="AQ31" s="322"/>
      <c r="AR31" s="509"/>
      <c r="AY31" s="1155">
        <v>0</v>
      </c>
    </row>
    <row s="1853" customFormat="1" customHeight="1" ht="18.75" hidden="1">
      <c r="A32" s="1368"/>
      <c r="B32" s="1368"/>
      <c r="C32" s="1368"/>
      <c r="D32" s="1368"/>
      <c r="E32" s="1368"/>
      <c r="F32" s="1368"/>
      <c r="G32" s="1368"/>
      <c r="H32" s="1368"/>
      <c r="I32" s="1368"/>
      <c r="J32" s="1368"/>
      <c r="K32" s="1368"/>
      <c r="L32" s="1369"/>
      <c r="M32" s="1368"/>
      <c r="N32" s="1368"/>
      <c r="O32" s="1368"/>
      <c r="S32" s="2250" t="s">
        <v>427</v>
      </c>
      <c r="T32" s="2250"/>
      <c r="U32" s="1372"/>
      <c r="V32" s="2264" t="str">
        <f>IF(TITLE_DATE_PR_CHANGE="",IF(TITLE_DATE_PR="","",TITLE_DATE_PR),TITLE_DATE_PR_CHANGE)</f>
        <v/>
      </c>
      <c r="W32" s="2264"/>
      <c r="X32" s="2264"/>
      <c r="Y32" s="2264"/>
      <c r="Z32" s="2264"/>
      <c r="AA32" s="2264"/>
      <c r="AB32" s="2264"/>
      <c r="AC32" s="2264"/>
      <c r="AD32" s="2264"/>
      <c r="AE32" s="2264"/>
      <c r="AF32" s="326"/>
      <c r="AG32" s="2264" t="str">
        <f>IF(TITLE_DATE_PR_CHANGE="",IF(TITLE_DATE_PR="","",TITLE_DATE_PR),TITLE_DATE_PR_CHANGE)</f>
        <v/>
      </c>
      <c r="AH32" s="2264"/>
      <c r="AI32" s="2264"/>
      <c r="AJ32" s="2264"/>
      <c r="AK32" s="2264"/>
      <c r="AL32" s="2264"/>
      <c r="AM32" s="2264"/>
      <c r="AN32" s="2264"/>
      <c r="AO32" s="2264"/>
      <c r="AP32" s="2264"/>
      <c r="AQ32" s="326"/>
      <c r="AR32" s="326"/>
      <c r="AS32" s="280"/>
      <c r="AT32" s="368"/>
      <c r="AU32" s="368"/>
      <c r="AV32" s="368"/>
      <c r="AW32" s="368"/>
      <c r="AX32" s="368"/>
      <c r="AY32" s="418">
        <v>0</v>
      </c>
    </row>
    <row s="1853" customFormat="1" customHeight="1" ht="18.75" hidden="1">
      <c r="A33" s="1368"/>
      <c r="B33" s="1368"/>
      <c r="C33" s="1368"/>
      <c r="D33" s="1368"/>
      <c r="E33" s="1368"/>
      <c r="F33" s="1368"/>
      <c r="G33" s="1368"/>
      <c r="H33" s="1368"/>
      <c r="I33" s="1368"/>
      <c r="J33" s="1368"/>
      <c r="K33" s="1368"/>
      <c r="L33" s="1369"/>
      <c r="M33" s="1368"/>
      <c r="N33" s="1368"/>
      <c r="O33" s="1368"/>
      <c r="S33" s="2250" t="s">
        <v>428</v>
      </c>
      <c r="T33" s="2250"/>
      <c r="U33" s="1372"/>
      <c r="V33" s="2251" t="str">
        <f>IF(TITLE_NUMBER_PR_CHANGE="",IF(TITLE_NUMBER_PR="","",TITLE_NUMBER_PR),TITLE_NUMBER_PR_CHANGE)</f>
        <v/>
      </c>
      <c r="W33" s="2251"/>
      <c r="X33" s="2251"/>
      <c r="Y33" s="2251"/>
      <c r="Z33" s="2251"/>
      <c r="AA33" s="2251"/>
      <c r="AB33" s="2251"/>
      <c r="AC33" s="2251"/>
      <c r="AD33" s="2251"/>
      <c r="AE33" s="2251"/>
      <c r="AF33" s="326"/>
      <c r="AG33" s="2251" t="str">
        <f>IF(TITLE_NUMBER_PR_CHANGE="",IF(TITLE_NUMBER_PR="","",TITLE_NUMBER_PR),TITLE_NUMBER_PR_CHANGE)</f>
        <v/>
      </c>
      <c r="AH33" s="2251"/>
      <c r="AI33" s="2251"/>
      <c r="AJ33" s="2251"/>
      <c r="AK33" s="2251"/>
      <c r="AL33" s="2251"/>
      <c r="AM33" s="2251"/>
      <c r="AN33" s="2251"/>
      <c r="AO33" s="2251"/>
      <c r="AP33" s="2251"/>
      <c r="AQ33" s="326"/>
      <c r="AR33" s="326"/>
      <c r="AS33" s="280"/>
      <c r="AT33" s="368"/>
      <c r="AU33" s="368"/>
      <c r="AV33" s="368"/>
      <c r="AW33" s="368"/>
      <c r="AX33" s="368"/>
      <c r="AY33" s="418">
        <v>0</v>
      </c>
    </row>
    <row s="1853" customFormat="1" customHeight="1" ht="1.05">
      <c r="A34" s="1368"/>
      <c r="B34" s="1368"/>
      <c r="C34" s="1368"/>
      <c r="D34" s="1368"/>
      <c r="E34" s="1368"/>
      <c r="F34" s="1368"/>
      <c r="G34" s="1368"/>
      <c r="H34" s="1368"/>
      <c r="I34" s="1368"/>
      <c r="J34" s="1368"/>
      <c r="K34" s="1368"/>
      <c r="L34" s="1369"/>
      <c r="M34" s="1368"/>
      <c r="N34" s="1368"/>
      <c r="O34" s="1368"/>
      <c r="S34" s="323"/>
      <c r="T34" s="323"/>
      <c r="U34" s="1488"/>
      <c r="V34" s="326"/>
      <c r="W34" s="1635"/>
      <c r="X34" s="1635"/>
      <c r="Y34" s="1635"/>
      <c r="Z34" s="1635"/>
      <c r="AA34" s="1635"/>
      <c r="AB34" s="326"/>
      <c r="AC34" s="326"/>
      <c r="AD34" s="326"/>
      <c r="AE34" s="326"/>
      <c r="AF34" s="278" t="s">
        <v>429</v>
      </c>
      <c r="AG34" s="326"/>
      <c r="AH34" s="1635"/>
      <c r="AI34" s="1635"/>
      <c r="AJ34" s="1635"/>
      <c r="AK34" s="1635"/>
      <c r="AL34" s="1635"/>
      <c r="AM34" s="326"/>
      <c r="AN34" s="326"/>
      <c r="AO34" s="326"/>
      <c r="AP34" s="326"/>
      <c r="AQ34" s="278" t="s">
        <v>429</v>
      </c>
      <c r="AT34" s="368"/>
      <c r="AU34" s="368"/>
      <c r="AV34" s="368"/>
      <c r="AW34" s="368"/>
      <c r="AX34" s="368"/>
      <c r="AY34" s="418">
        <v>1</v>
      </c>
    </row>
    <row customHeight="1" ht="14.699999999999998">
      <c r="Q35" s="376"/>
      <c r="R35" s="376"/>
      <c r="S35" s="1275"/>
      <c r="T35" s="363"/>
      <c r="U35" s="1244"/>
      <c r="V35" s="2252"/>
      <c r="W35" s="2252"/>
      <c r="X35" s="2252"/>
      <c r="Y35" s="2252"/>
      <c r="Z35" s="2252"/>
      <c r="AA35" s="2252"/>
      <c r="AB35" s="2252"/>
      <c r="AC35" s="2252"/>
      <c r="AD35" s="2252"/>
      <c r="AE35" s="2252"/>
      <c r="AF35" s="2252"/>
      <c r="AG35" s="2252"/>
      <c r="AH35" s="2252"/>
      <c r="AI35" s="2252"/>
      <c r="AJ35" s="2252"/>
      <c r="AK35" s="2252"/>
      <c r="AL35" s="2252"/>
      <c r="AM35" s="2252"/>
      <c r="AN35" s="2252"/>
      <c r="AO35" s="2252"/>
      <c r="AP35" s="2252"/>
      <c r="AQ35" s="2252"/>
      <c r="AY35" s="1155">
        <v>14</v>
      </c>
    </row>
    <row customHeight="1" ht="14.699999999999998">
      <c r="Q36" s="376"/>
      <c r="R36" s="376"/>
      <c r="S36" s="2127" t="s">
        <v>302</v>
      </c>
      <c r="T36" s="2127"/>
      <c r="U36" s="2127"/>
      <c r="V36" s="2127"/>
      <c r="W36" s="2127"/>
      <c r="X36" s="2127"/>
      <c r="Y36" s="2127"/>
      <c r="Z36" s="2127"/>
      <c r="AA36" s="2127"/>
      <c r="AB36" s="2127"/>
      <c r="AC36" s="2127"/>
      <c r="AD36" s="2127"/>
      <c r="AE36" s="2127"/>
      <c r="AF36" s="2127"/>
      <c r="AG36" s="2127"/>
      <c r="AH36" s="2127"/>
      <c r="AI36" s="2127"/>
      <c r="AJ36" s="2127"/>
      <c r="AK36" s="2127"/>
      <c r="AL36" s="2127"/>
      <c r="AM36" s="2127"/>
      <c r="AN36" s="2127"/>
      <c r="AO36" s="2127"/>
      <c r="AP36" s="2127"/>
      <c r="AQ36" s="2127"/>
      <c r="AR36" s="2127"/>
      <c r="AS36" s="2127" t="s">
        <v>303</v>
      </c>
      <c r="AY36" s="1155">
        <v>14</v>
      </c>
    </row>
    <row customHeight="1" ht="14.699999999999998">
      <c r="Q37" s="376"/>
      <c r="R37" s="376"/>
      <c r="S37" s="2273" t="s">
        <v>88</v>
      </c>
      <c r="T37" s="2209" t="s">
        <v>430</v>
      </c>
      <c r="U37" s="301"/>
      <c r="V37" s="2274" t="s">
        <v>431</v>
      </c>
      <c r="W37" s="2275"/>
      <c r="X37" s="2275"/>
      <c r="Y37" s="2275"/>
      <c r="Z37" s="2275"/>
      <c r="AA37" s="2275"/>
      <c r="AB37" s="2275"/>
      <c r="AC37" s="2275"/>
      <c r="AD37" s="2275"/>
      <c r="AE37" s="2276"/>
      <c r="AF37" s="2277" t="s">
        <v>432</v>
      </c>
      <c r="AG37" s="2274" t="s">
        <v>431</v>
      </c>
      <c r="AH37" s="2275"/>
      <c r="AI37" s="2275"/>
      <c r="AJ37" s="2275"/>
      <c r="AK37" s="2275"/>
      <c r="AL37" s="2275"/>
      <c r="AM37" s="2275"/>
      <c r="AN37" s="2275"/>
      <c r="AO37" s="2275"/>
      <c r="AP37" s="2276"/>
      <c r="AQ37" s="2277" t="s">
        <v>433</v>
      </c>
      <c r="AR37" s="2280" t="s">
        <v>434</v>
      </c>
      <c r="AS37" s="2127"/>
      <c r="AY37" s="1155">
        <v>14</v>
      </c>
    </row>
    <row s="1635" customFormat="1" customHeight="1" ht="19.95">
      <c r="A38" s="1366"/>
      <c r="B38" s="1366"/>
      <c r="C38" s="1366"/>
      <c r="D38" s="1366"/>
      <c r="E38" s="1366"/>
      <c r="F38" s="1366"/>
      <c r="G38" s="1366"/>
      <c r="H38" s="1366"/>
      <c r="I38" s="1366"/>
      <c r="J38" s="1366"/>
      <c r="K38" s="1366"/>
      <c r="L38" s="1980"/>
      <c r="M38" s="1362"/>
      <c r="N38" s="1362"/>
      <c r="O38" s="1362"/>
      <c r="P38" s="1981"/>
      <c r="Q38" s="376"/>
      <c r="R38" s="376"/>
      <c r="S38" s="2273"/>
      <c r="T38" s="2209"/>
      <c r="U38" s="1031"/>
      <c r="V38" s="2366" t="s">
        <v>534</v>
      </c>
      <c r="W38" s="2365" t="s">
        <v>535</v>
      </c>
      <c r="X38" s="2365"/>
      <c r="Y38" s="2365"/>
      <c r="Z38" s="2365" t="s">
        <v>536</v>
      </c>
      <c r="AA38" s="2365"/>
      <c r="AB38" s="2365"/>
      <c r="AC38" s="2294" t="s">
        <v>438</v>
      </c>
      <c r="AD38" s="2313"/>
      <c r="AE38" s="2314"/>
      <c r="AF38" s="2278"/>
      <c r="AG38" s="2366" t="s">
        <v>534</v>
      </c>
      <c r="AH38" s="2365" t="s">
        <v>535</v>
      </c>
      <c r="AI38" s="2365"/>
      <c r="AJ38" s="2365"/>
      <c r="AK38" s="2365" t="s">
        <v>536</v>
      </c>
      <c r="AL38" s="2365"/>
      <c r="AM38" s="2365"/>
      <c r="AN38" s="2294" t="s">
        <v>438</v>
      </c>
      <c r="AO38" s="2313"/>
      <c r="AP38" s="2314"/>
      <c r="AQ38" s="2278"/>
      <c r="AR38" s="2281"/>
      <c r="AS38" s="2127"/>
      <c r="AT38" s="1636"/>
      <c r="AU38" s="1636"/>
      <c r="AV38" s="1636"/>
      <c r="AW38" s="1636"/>
      <c r="AX38" s="1636"/>
      <c r="AY38" s="1631">
        <v>19</v>
      </c>
    </row>
    <row customHeight="1" ht="19.95">
      <c r="Q39" s="376"/>
      <c r="R39" s="376"/>
      <c r="S39" s="2273"/>
      <c r="T39" s="2209"/>
      <c r="U39" s="1031"/>
      <c r="V39" s="2366"/>
      <c r="W39" s="2365" t="s">
        <v>537</v>
      </c>
      <c r="X39" s="2365" t="s">
        <v>538</v>
      </c>
      <c r="Y39" s="2365"/>
      <c r="Z39" s="2365" t="s">
        <v>539</v>
      </c>
      <c r="AA39" s="2365" t="s">
        <v>538</v>
      </c>
      <c r="AB39" s="2365"/>
      <c r="AC39" s="2295"/>
      <c r="AD39" s="2315"/>
      <c r="AE39" s="2316"/>
      <c r="AF39" s="2278"/>
      <c r="AG39" s="2366"/>
      <c r="AH39" s="2365" t="s">
        <v>537</v>
      </c>
      <c r="AI39" s="2365" t="s">
        <v>538</v>
      </c>
      <c r="AJ39" s="2365"/>
      <c r="AK39" s="2365" t="s">
        <v>539</v>
      </c>
      <c r="AL39" s="2365" t="s">
        <v>538</v>
      </c>
      <c r="AM39" s="2365"/>
      <c r="AN39" s="2295"/>
      <c r="AO39" s="2315"/>
      <c r="AP39" s="2316"/>
      <c r="AQ39" s="2278"/>
      <c r="AR39" s="2281"/>
      <c r="AS39" s="2127"/>
      <c r="AY39" s="1155">
        <v>19</v>
      </c>
    </row>
    <row customHeight="1" ht="61.949999999999996">
      <c r="A40" s="1370"/>
      <c r="B40" s="1370" t="s">
        <v>139</v>
      </c>
      <c r="C40" s="1370" t="s">
        <v>140</v>
      </c>
      <c r="D40" s="1370" t="s">
        <v>141</v>
      </c>
      <c r="E40" s="1364" t="s">
        <v>439</v>
      </c>
      <c r="F40" s="1364" t="s">
        <v>440</v>
      </c>
      <c r="G40" s="1364" t="s">
        <v>441</v>
      </c>
      <c r="H40" s="1364"/>
      <c r="I40" s="1364" t="s">
        <v>492</v>
      </c>
      <c r="J40" s="1364" t="s">
        <v>444</v>
      </c>
      <c r="K40" s="1364" t="s">
        <v>493</v>
      </c>
      <c r="L40" s="1364" t="s">
        <v>420</v>
      </c>
      <c r="Q40" s="376"/>
      <c r="R40" s="376"/>
      <c r="S40" s="2273"/>
      <c r="T40" s="2209"/>
      <c r="U40" s="302"/>
      <c r="V40" s="2366"/>
      <c r="W40" s="2365"/>
      <c r="X40" s="1983" t="s">
        <v>540</v>
      </c>
      <c r="Y40" s="1983" t="s">
        <v>541</v>
      </c>
      <c r="Z40" s="2365"/>
      <c r="AA40" s="1983" t="s">
        <v>542</v>
      </c>
      <c r="AB40" s="1983" t="s">
        <v>543</v>
      </c>
      <c r="AC40" s="1489" t="s">
        <v>448</v>
      </c>
      <c r="AD40" s="2270" t="s">
        <v>449</v>
      </c>
      <c r="AE40" s="2271"/>
      <c r="AF40" s="2279"/>
      <c r="AG40" s="2366"/>
      <c r="AH40" s="2365"/>
      <c r="AI40" s="1983" t="s">
        <v>540</v>
      </c>
      <c r="AJ40" s="1983" t="s">
        <v>541</v>
      </c>
      <c r="AK40" s="2365"/>
      <c r="AL40" s="1983" t="s">
        <v>542</v>
      </c>
      <c r="AM40" s="1983" t="s">
        <v>543</v>
      </c>
      <c r="AN40" s="1489" t="s">
        <v>448</v>
      </c>
      <c r="AO40" s="2270" t="s">
        <v>449</v>
      </c>
      <c r="AP40" s="2271"/>
      <c r="AQ40" s="2279"/>
      <c r="AR40" s="2282"/>
      <c r="AS40" s="2127"/>
      <c r="AY40" s="1155">
        <v>59</v>
      </c>
    </row>
    <row s="1641" customFormat="1" customHeight="1" ht="11.25" hidden="1">
      <c r="A41" s="1370"/>
      <c r="B41" s="1370"/>
      <c r="C41" s="1370"/>
      <c r="D41" s="1370"/>
      <c r="E41" s="1370"/>
      <c r="F41" s="1370"/>
      <c r="G41" s="1370"/>
      <c r="H41" s="1370"/>
      <c r="I41" s="1370"/>
      <c r="J41" s="1370"/>
      <c r="K41" s="1370"/>
      <c r="L41" s="1364"/>
      <c r="M41" s="1362"/>
      <c r="N41" s="1362"/>
      <c r="O41" s="1362"/>
      <c r="P41" s="1246"/>
      <c r="Q41" s="1247"/>
      <c r="R41" s="1254">
        <v>1</v>
      </c>
      <c r="S41" s="1277" t="s">
        <v>109</v>
      </c>
      <c r="T41" s="1255" t="s">
        <v>110</v>
      </c>
      <c r="U41" s="1245" t="str">
        <f>OFFSET(U41,0,-1)</f>
        <v>2</v>
      </c>
      <c r="V41" s="1482">
        <f>OFFSET(V41,0,-1)+1</f>
        <v>3</v>
      </c>
      <c r="W41" s="1979"/>
      <c r="X41" s="1979"/>
      <c r="Y41" s="1979"/>
      <c r="Z41" s="1979"/>
      <c r="AA41" s="1979"/>
      <c r="AB41" s="1482">
        <f>OFFSET(AB41,0,-1)+1</f>
        <v>1</v>
      </c>
      <c r="AC41" s="1482">
        <f>OFFSET(AC41,0,-1)+1</f>
        <v>2</v>
      </c>
      <c r="AD41" s="2272">
        <f>OFFSET(AD41,0,-1)+1</f>
        <v>3</v>
      </c>
      <c r="AE41" s="2272"/>
      <c r="AF41" s="1482">
        <f>OFFSET(AF41,0,-2)+1</f>
        <v>4</v>
      </c>
      <c r="AG41" s="1482">
        <f>OFFSET(AG41,0,-1)+1</f>
        <v>5</v>
      </c>
      <c r="AH41" s="1979"/>
      <c r="AI41" s="1979"/>
      <c r="AJ41" s="1979"/>
      <c r="AK41" s="1979"/>
      <c r="AL41" s="1979"/>
      <c r="AM41" s="1482">
        <f>OFFSET(AM41,0,-1)+1</f>
        <v>1</v>
      </c>
      <c r="AN41" s="1482">
        <f>OFFSET(AN41,0,-1)+1</f>
        <v>2</v>
      </c>
      <c r="AO41" s="2272">
        <f>OFFSET(AO41,0,-1)+1</f>
        <v>3</v>
      </c>
      <c r="AP41" s="2272"/>
      <c r="AQ41" s="1482">
        <f>OFFSET(AQ41,0,-2)+1</f>
        <v>4</v>
      </c>
      <c r="AR41" s="1245">
        <f>OFFSET(AR41,0,-1)</f>
        <v>4</v>
      </c>
      <c r="AS41" s="1482">
        <f>OFFSET(AS41,0,-1)+1</f>
        <v>5</v>
      </c>
      <c r="AT41" s="511"/>
      <c r="AU41" s="511"/>
      <c r="AV41" s="511"/>
      <c r="AW41" s="511"/>
      <c r="AX41" s="511"/>
      <c r="AY41" s="496">
        <v>0</v>
      </c>
    </row>
    <row customHeight="1" ht="24">
      <c r="A42" s="1363" t="s">
        <v>258</v>
      </c>
      <c r="B42" s="1363"/>
      <c r="C42" s="1363"/>
      <c r="D42" s="1363"/>
      <c r="E42" s="2258">
        <v>1</v>
      </c>
      <c r="F42" s="1363"/>
      <c r="G42" s="1363"/>
      <c r="H42" s="1363"/>
      <c r="I42" s="1363"/>
      <c r="J42" s="1363"/>
      <c r="K42" s="1363"/>
      <c r="L42" s="1364"/>
      <c r="M42" s="1365"/>
      <c r="N42" s="1365"/>
      <c r="O42" s="1365"/>
      <c r="P42" s="361"/>
      <c r="Q42" s="360"/>
      <c r="R42" s="355"/>
      <c r="S42" s="1493">
        <f>INDEX(PT_DIFFERENTIATION_NUM_NTAR,MATCH(A42,PT_DIFFERENTIATION_NTAR_ID,0))</f>
        <v>0</v>
      </c>
      <c r="T42" s="298" t="s">
        <v>127</v>
      </c>
      <c r="U42" s="300"/>
      <c r="V42" s="2242"/>
      <c r="W42" s="2243"/>
      <c r="X42" s="2243"/>
      <c r="Y42" s="2243"/>
      <c r="Z42" s="2243"/>
      <c r="AA42" s="2243"/>
      <c r="AB42" s="2243"/>
      <c r="AC42" s="2243"/>
      <c r="AD42" s="2243"/>
      <c r="AE42" s="2243"/>
      <c r="AF42" s="2244"/>
      <c r="AG42" s="2242" t="str">
        <f>INDEX(PT_DIFFERENTIATION_NTAR,MATCH(A42,PT_DIFFERENTIATION_NTAR_ID,0))</f>
        <v/>
      </c>
      <c r="AH42" s="2243"/>
      <c r="AI42" s="2243"/>
      <c r="AJ42" s="2243"/>
      <c r="AK42" s="2243"/>
      <c r="AL42" s="2243"/>
      <c r="AM42" s="2243"/>
      <c r="AN42" s="2243"/>
      <c r="AO42" s="2243"/>
      <c r="AP42" s="2243"/>
      <c r="AQ42" s="2243"/>
      <c r="AR42" s="2244"/>
      <c r="AS42"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U42" s="500"/>
      <c r="AV42" s="500" t="str">
        <f>IF(T42="","",T42)</f>
        <v>Наименование тарифа</v>
      </c>
      <c r="AW42" s="500"/>
      <c r="AX42" s="500"/>
      <c r="AY42" s="1155">
        <v>23</v>
      </c>
    </row>
    <row customHeight="1" ht="24">
      <c r="A43" s="1363" t="s">
        <v>258</v>
      </c>
      <c r="B43" s="1363" t="s">
        <v>259</v>
      </c>
      <c r="C43" s="1363"/>
      <c r="D43" s="1363"/>
      <c r="E43" s="2259"/>
      <c r="F43" s="2258">
        <v>1</v>
      </c>
      <c r="G43" s="1363"/>
      <c r="H43" s="1363"/>
      <c r="I43" s="1363"/>
      <c r="J43" s="1363"/>
      <c r="K43" s="1363"/>
      <c r="L43" s="1364"/>
      <c r="M43" s="1365"/>
      <c r="N43" s="1365"/>
      <c r="O43" s="1365"/>
      <c r="P43" s="1487"/>
      <c r="Q43" s="352"/>
      <c r="R43" s="353"/>
      <c r="S43" s="1493" t="str">
        <f>INDEX(PT_DIFFERENTIATION_NUM_TER,MATCH(B43,PT_DIFFERENTIATION_TER_ID,0))</f>
        <v>.</v>
      </c>
      <c r="T43" s="308" t="s">
        <v>399</v>
      </c>
      <c r="U43" s="300"/>
      <c r="V43" s="2242"/>
      <c r="W43" s="2243"/>
      <c r="X43" s="2243"/>
      <c r="Y43" s="2243"/>
      <c r="Z43" s="2243"/>
      <c r="AA43" s="2243"/>
      <c r="AB43" s="2243"/>
      <c r="AC43" s="2243"/>
      <c r="AD43" s="2243"/>
      <c r="AE43" s="2243"/>
      <c r="AF43" s="2244"/>
      <c r="AG43" s="2242" t="str">
        <f>INDEX(PT_DIFFERENTIATION_TER,MATCH(B43,PT_DIFFERENTIATION_TER_ID,0))</f>
        <v/>
      </c>
      <c r="AH43" s="2243"/>
      <c r="AI43" s="2243"/>
      <c r="AJ43" s="2243"/>
      <c r="AK43" s="2243"/>
      <c r="AL43" s="2243"/>
      <c r="AM43" s="2243"/>
      <c r="AN43" s="2243"/>
      <c r="AO43" s="2243"/>
      <c r="AP43" s="2243"/>
      <c r="AQ43" s="2243"/>
      <c r="AR43" s="2244"/>
      <c r="AS43" s="1258" t="s">
        <v>400</v>
      </c>
      <c r="AU43" s="500"/>
      <c r="AV43" s="500" t="str">
        <f>IF(T43="","",T43)</f>
        <v>Территория действия тарифа</v>
      </c>
      <c r="AW43" s="500"/>
      <c r="AX43" s="500"/>
      <c r="AY43" s="1155">
        <v>23</v>
      </c>
    </row>
    <row customHeight="1" ht="24">
      <c r="A44" s="1363" t="s">
        <v>258</v>
      </c>
      <c r="B44" s="1363" t="s">
        <v>259</v>
      </c>
      <c r="C44" s="1363" t="s">
        <v>260</v>
      </c>
      <c r="D44" s="1363"/>
      <c r="E44" s="2259"/>
      <c r="F44" s="2259"/>
      <c r="G44" s="2258">
        <v>1</v>
      </c>
      <c r="H44" s="1363"/>
      <c r="I44" s="1363"/>
      <c r="J44" s="1363"/>
      <c r="K44" s="1363"/>
      <c r="L44" s="1364"/>
      <c r="M44" s="1365"/>
      <c r="N44" s="1365"/>
      <c r="O44" s="1365"/>
      <c r="P44" s="354"/>
      <c r="Q44" s="352"/>
      <c r="R44" s="353"/>
      <c r="S44" s="1493" t="str">
        <f>INDEX(PT_DIFFERENTIATION_NUM_CS,MATCH(C44,PT_DIFFERENTIATION_CS_ID,0))</f>
        <v>..</v>
      </c>
      <c r="T44" s="309" t="s">
        <v>532</v>
      </c>
      <c r="U44" s="300"/>
      <c r="V44" s="2242"/>
      <c r="W44" s="2243"/>
      <c r="X44" s="2243"/>
      <c r="Y44" s="2243"/>
      <c r="Z44" s="2243"/>
      <c r="AA44" s="2243"/>
      <c r="AB44" s="2243"/>
      <c r="AC44" s="2243"/>
      <c r="AD44" s="2243"/>
      <c r="AE44" s="2243"/>
      <c r="AF44" s="2244"/>
      <c r="AG44" s="2242" t="str">
        <f>INDEX(PT_DIFFERENTIATION_CS,MATCH(C44,PT_DIFFERENTIATION_CS_ID,0))</f>
        <v/>
      </c>
      <c r="AH44" s="2243"/>
      <c r="AI44" s="2243"/>
      <c r="AJ44" s="2243"/>
      <c r="AK44" s="2243"/>
      <c r="AL44" s="2243"/>
      <c r="AM44" s="2243"/>
      <c r="AN44" s="2243"/>
      <c r="AO44" s="2243"/>
      <c r="AP44" s="2243"/>
      <c r="AQ44" s="2243"/>
      <c r="AR44" s="2244"/>
      <c r="AS44" s="1258" t="s">
        <v>533</v>
      </c>
      <c r="AU44" s="500"/>
      <c r="AV44" s="500" t="str">
        <f>IF(T44="","",T44)</f>
        <v>Наименование централизованной системы горячего водоснабжения</v>
      </c>
      <c r="AW44" s="500"/>
      <c r="AX44" s="500"/>
      <c r="AY44" s="1155">
        <v>23</v>
      </c>
    </row>
    <row customHeight="1" ht="24">
      <c r="A45" s="1363" t="s">
        <v>258</v>
      </c>
      <c r="B45" s="1363" t="s">
        <v>259</v>
      </c>
      <c r="C45" s="1363" t="s">
        <v>260</v>
      </c>
      <c r="D45" s="1363" t="s">
        <v>545</v>
      </c>
      <c r="E45" s="2259"/>
      <c r="F45" s="2259"/>
      <c r="G45" s="2259"/>
      <c r="H45" s="2259"/>
      <c r="I45" s="2256" t="str">
        <f>S44&amp;".1"</f>
        <v>...1</v>
      </c>
      <c r="J45" s="1363"/>
      <c r="K45" s="1363"/>
      <c r="L45" s="1364"/>
      <c r="P45" s="2257">
        <v>1</v>
      </c>
      <c r="Q45" s="1481"/>
      <c r="R45" s="356"/>
      <c r="S45" s="1493" t="str">
        <f>$I45</f>
        <v>...1</v>
      </c>
      <c r="T45" s="285" t="s">
        <v>485</v>
      </c>
      <c r="U45" s="300"/>
      <c r="V45" s="2350"/>
      <c r="W45" s="2351"/>
      <c r="X45" s="2351"/>
      <c r="Y45" s="2351"/>
      <c r="Z45" s="2351"/>
      <c r="AA45" s="2351"/>
      <c r="AB45" s="2351"/>
      <c r="AC45" s="2351"/>
      <c r="AD45" s="2351"/>
      <c r="AE45" s="2351"/>
      <c r="AF45" s="2352"/>
      <c r="AG45" s="2353"/>
      <c r="AH45" s="2354"/>
      <c r="AI45" s="2354"/>
      <c r="AJ45" s="2354"/>
      <c r="AK45" s="2354"/>
      <c r="AL45" s="2354"/>
      <c r="AM45" s="2354"/>
      <c r="AN45" s="2354"/>
      <c r="AO45" s="2354"/>
      <c r="AP45" s="2354"/>
      <c r="AQ45" s="2354"/>
      <c r="AR45" s="2355"/>
      <c r="AS45" s="1258" t="s">
        <v>486</v>
      </c>
      <c r="AU45" s="500"/>
      <c r="AV45" s="500" t="str">
        <f>IF(T45="","",T45)</f>
        <v>Наименование признака дифференциации</v>
      </c>
      <c r="AW45" s="500"/>
      <c r="AX45" s="500"/>
      <c r="AY45" s="1155">
        <v>23</v>
      </c>
    </row>
    <row customHeight="1" ht="24">
      <c r="A46" s="1363" t="s">
        <v>258</v>
      </c>
      <c r="B46" s="1363" t="s">
        <v>259</v>
      </c>
      <c r="C46" s="1363" t="s">
        <v>260</v>
      </c>
      <c r="D46" s="1363" t="s">
        <v>545</v>
      </c>
      <c r="E46" s="2259"/>
      <c r="F46" s="2259"/>
      <c r="G46" s="2259"/>
      <c r="H46" s="2259"/>
      <c r="I46" s="2286"/>
      <c r="J46" s="2256" t="str">
        <f>I45&amp;".1"</f>
        <v>...1.1</v>
      </c>
      <c r="K46" s="1363"/>
      <c r="L46" s="1364" t="s">
        <v>408</v>
      </c>
      <c r="P46" s="2257"/>
      <c r="Q46" s="2257">
        <v>1</v>
      </c>
      <c r="R46" s="357"/>
      <c r="S46" s="1493" t="str">
        <f>$J46</f>
        <v>...1.1</v>
      </c>
      <c r="T46" s="286" t="s">
        <v>409</v>
      </c>
      <c r="U46" s="300"/>
      <c r="V46" s="2245"/>
      <c r="W46" s="2246"/>
      <c r="X46" s="2246"/>
      <c r="Y46" s="2246"/>
      <c r="Z46" s="2246"/>
      <c r="AA46" s="2246"/>
      <c r="AB46" s="2246"/>
      <c r="AC46" s="2246"/>
      <c r="AD46" s="2246"/>
      <c r="AE46" s="2246"/>
      <c r="AF46" s="2247"/>
      <c r="AG46" s="2245"/>
      <c r="AH46" s="2246"/>
      <c r="AI46" s="2246"/>
      <c r="AJ46" s="2246"/>
      <c r="AK46" s="2246"/>
      <c r="AL46" s="2246"/>
      <c r="AM46" s="2246"/>
      <c r="AN46" s="2246"/>
      <c r="AO46" s="2246"/>
      <c r="AP46" s="2246"/>
      <c r="AQ46" s="2246"/>
      <c r="AR46" s="2247"/>
      <c r="AS46" s="1307" t="s">
        <v>487</v>
      </c>
      <c r="AU46" s="500"/>
      <c r="AV46" s="500" t="str">
        <f>IF(T46="","",T46)</f>
        <v>Группа потребителей</v>
      </c>
      <c r="AW46" s="500"/>
      <c r="AX46" s="500"/>
      <c r="AY46" s="1155">
        <v>23</v>
      </c>
    </row>
    <row customHeight="1" ht="24">
      <c r="A47" s="1363" t="s">
        <v>258</v>
      </c>
      <c r="B47" s="1363" t="s">
        <v>259</v>
      </c>
      <c r="C47" s="1363" t="s">
        <v>260</v>
      </c>
      <c r="D47" s="1363" t="s">
        <v>545</v>
      </c>
      <c r="E47" s="2259"/>
      <c r="F47" s="2259"/>
      <c r="G47" s="2259"/>
      <c r="H47" s="2259"/>
      <c r="I47" s="2286"/>
      <c r="J47" s="2286"/>
      <c r="K47" s="2256" t="str">
        <f>J46&amp;".1"</f>
        <v>...1.1.1</v>
      </c>
      <c r="L47" s="1364"/>
      <c r="P47" s="2257"/>
      <c r="Q47" s="2257"/>
      <c r="R47" s="357">
        <v>1</v>
      </c>
      <c r="S47" s="1493" t="str">
        <f>$K47</f>
        <v>...1.1.1</v>
      </c>
      <c r="T47" s="1437"/>
      <c r="U47" s="300"/>
      <c r="V47" s="1360"/>
      <c r="W47" s="1360"/>
      <c r="X47" s="1360"/>
      <c r="Y47" s="1360"/>
      <c r="Z47" s="1360"/>
      <c r="AA47" s="1360"/>
      <c r="AB47" s="1361"/>
      <c r="AC47" s="2267"/>
      <c r="AD47" s="2268" t="s">
        <v>66</v>
      </c>
      <c r="AE47" s="2267"/>
      <c r="AF47" s="2268" t="s">
        <v>66</v>
      </c>
      <c r="AG47" s="751"/>
      <c r="AH47" s="751"/>
      <c r="AI47" s="751"/>
      <c r="AJ47" s="751"/>
      <c r="AK47" s="751"/>
      <c r="AL47" s="751"/>
      <c r="AM47" s="1257"/>
      <c r="AN47" s="2265"/>
      <c r="AO47" s="2107" t="s">
        <v>66</v>
      </c>
      <c r="AP47" s="2287"/>
      <c r="AQ47" s="2107" t="s">
        <v>19</v>
      </c>
      <c r="AR47" s="1438"/>
      <c r="AS47" s="234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47" s="511">
        <f>STRCHECKDATE(V48:AR48)</f>
      </c>
      <c r="AU47" s="500"/>
      <c r="AV47" s="500" t="str">
        <f>IF(T47="","",T47)</f>
        <v/>
      </c>
      <c r="AW47" s="500"/>
      <c r="AX47" s="500"/>
      <c r="AY47" s="1155">
        <v>23</v>
      </c>
    </row>
    <row customHeight="1" ht="0">
      <c r="A48" s="1363" t="s">
        <v>258</v>
      </c>
      <c r="B48" s="1363" t="s">
        <v>259</v>
      </c>
      <c r="C48" s="1363" t="s">
        <v>260</v>
      </c>
      <c r="D48" s="1363" t="s">
        <v>545</v>
      </c>
      <c r="E48" s="2259"/>
      <c r="F48" s="2259"/>
      <c r="G48" s="2259"/>
      <c r="H48" s="2259"/>
      <c r="I48" s="2286"/>
      <c r="J48" s="2286"/>
      <c r="K48" s="2256"/>
      <c r="L48" s="1364"/>
      <c r="P48" s="2257"/>
      <c r="Q48" s="2257"/>
      <c r="R48" s="357"/>
      <c r="S48" s="1490"/>
      <c r="T48" s="300"/>
      <c r="U48" s="300"/>
      <c r="V48" s="1360"/>
      <c r="W48" s="1360"/>
      <c r="X48" s="1360"/>
      <c r="Y48" s="1360"/>
      <c r="Z48" s="1360"/>
      <c r="AA48" s="1360"/>
      <c r="AB48" s="328" t="str">
        <f>AC47&amp;"-"&amp;AE47</f>
        <v>-</v>
      </c>
      <c r="AC48" s="2268"/>
      <c r="AD48" s="2268"/>
      <c r="AE48" s="2268"/>
      <c r="AF48" s="2268"/>
      <c r="AG48" s="325"/>
      <c r="AH48" s="325"/>
      <c r="AI48" s="325"/>
      <c r="AJ48" s="325"/>
      <c r="AK48" s="325"/>
      <c r="AL48" s="325"/>
      <c r="AM48" s="328" t="str">
        <f>AN47&amp;"-"&amp;AP47</f>
        <v>-</v>
      </c>
      <c r="AN48" s="2266"/>
      <c r="AO48" s="2107"/>
      <c r="AP48" s="2288"/>
      <c r="AQ48" s="2107"/>
      <c r="AR48" s="1439"/>
      <c r="AS48" s="2349"/>
      <c r="AU48" s="500"/>
      <c r="AV48" s="500" t="str">
        <f>IF(T48="","",T48)</f>
        <v/>
      </c>
      <c r="AW48" s="500"/>
      <c r="AX48" s="500"/>
      <c r="AY48" s="1155">
        <v>0</v>
      </c>
    </row>
    <row customHeight="1" ht="21">
      <c r="A49" s="1363" t="s">
        <v>258</v>
      </c>
      <c r="B49" s="1363" t="s">
        <v>259</v>
      </c>
      <c r="C49" s="1363" t="s">
        <v>260</v>
      </c>
      <c r="D49" s="1363" t="s">
        <v>545</v>
      </c>
      <c r="E49" s="2259"/>
      <c r="F49" s="2259"/>
      <c r="G49" s="2259"/>
      <c r="H49" s="2259"/>
      <c r="I49" s="2286"/>
      <c r="J49" s="2256"/>
      <c r="K49" s="1363"/>
      <c r="L49" s="1364"/>
      <c r="P49" s="2257"/>
      <c r="Q49" s="2257"/>
      <c r="R49" s="356"/>
      <c r="S49" s="1278"/>
      <c r="T49" s="287" t="s">
        <v>488</v>
      </c>
      <c r="U49" s="367"/>
      <c r="V49" s="367"/>
      <c r="W49" s="600"/>
      <c r="X49" s="600"/>
      <c r="Y49" s="600"/>
      <c r="Z49" s="600"/>
      <c r="AA49" s="600"/>
      <c r="AB49" s="367"/>
      <c r="AC49" s="367"/>
      <c r="AD49" s="367"/>
      <c r="AE49" s="367"/>
      <c r="AF49" s="367"/>
      <c r="AG49" s="367"/>
      <c r="AH49" s="600"/>
      <c r="AI49" s="600"/>
      <c r="AJ49" s="600"/>
      <c r="AK49" s="600"/>
      <c r="AL49" s="600"/>
      <c r="AM49" s="367"/>
      <c r="AN49" s="367"/>
      <c r="AO49" s="367"/>
      <c r="AP49" s="367"/>
      <c r="AQ49" s="367"/>
      <c r="AR49" s="367"/>
      <c r="AS49" s="1258" t="s">
        <v>489</v>
      </c>
      <c r="AU49" s="500"/>
      <c r="AV49" s="500" t="str">
        <f>IF(T49="","",T49)</f>
        <v>Добавить значение признака дифференциации</v>
      </c>
      <c r="AW49" s="500"/>
      <c r="AX49" s="500"/>
      <c r="AY49" s="1155">
        <v>20</v>
      </c>
    </row>
    <row customHeight="1" ht="22.049999999999997">
      <c r="A50" s="1363" t="s">
        <v>258</v>
      </c>
      <c r="B50" s="1363" t="s">
        <v>259</v>
      </c>
      <c r="C50" s="1363" t="s">
        <v>260</v>
      </c>
      <c r="D50" s="1363" t="s">
        <v>545</v>
      </c>
      <c r="E50" s="2259"/>
      <c r="F50" s="2259"/>
      <c r="G50" s="2259"/>
      <c r="H50" s="2259"/>
      <c r="I50" s="2256"/>
      <c r="J50" s="1363"/>
      <c r="K50" s="1363"/>
      <c r="L50" s="1364"/>
      <c r="P50" s="2257"/>
      <c r="Q50" s="1481"/>
      <c r="R50" s="356"/>
      <c r="S50" s="1278"/>
      <c r="T50" s="365" t="s">
        <v>414</v>
      </c>
      <c r="U50" s="367"/>
      <c r="V50" s="367"/>
      <c r="W50" s="600"/>
      <c r="X50" s="600"/>
      <c r="Y50" s="600"/>
      <c r="Z50" s="600"/>
      <c r="AA50" s="600"/>
      <c r="AB50" s="367"/>
      <c r="AC50" s="367"/>
      <c r="AD50" s="367"/>
      <c r="AE50" s="367"/>
      <c r="AF50" s="366"/>
      <c r="AG50" s="367"/>
      <c r="AH50" s="600"/>
      <c r="AI50" s="600"/>
      <c r="AJ50" s="600"/>
      <c r="AK50" s="600"/>
      <c r="AL50" s="600"/>
      <c r="AM50" s="367"/>
      <c r="AN50" s="367"/>
      <c r="AO50" s="367"/>
      <c r="AP50" s="367"/>
      <c r="AQ50" s="366"/>
      <c r="AR50" s="367"/>
      <c r="AS50" s="1440"/>
      <c r="AU50" s="500"/>
      <c r="AV50" s="500" t="str">
        <f>IF(T50="","",T50)</f>
        <v>Добавить группу потребителей</v>
      </c>
      <c r="AW50" s="500"/>
      <c r="AX50" s="500"/>
      <c r="AY50" s="1155">
        <v>21</v>
      </c>
    </row>
    <row customHeight="1" ht="22.049999999999997">
      <c r="A51" s="1363" t="s">
        <v>258</v>
      </c>
      <c r="B51" s="1363" t="s">
        <v>259</v>
      </c>
      <c r="C51" s="1363" t="s">
        <v>260</v>
      </c>
      <c r="D51" s="1363" t="s">
        <v>545</v>
      </c>
      <c r="E51" s="2259"/>
      <c r="F51" s="2259"/>
      <c r="G51" s="2259"/>
      <c r="H51" s="2258"/>
      <c r="I51" s="1363"/>
      <c r="J51" s="1363"/>
      <c r="K51" s="1363"/>
      <c r="L51" s="1364"/>
      <c r="M51" s="1365"/>
      <c r="N51" s="1365"/>
      <c r="O51" s="537"/>
      <c r="P51" s="360"/>
      <c r="Q51" s="375"/>
      <c r="R51" s="355"/>
      <c r="S51" s="1278"/>
      <c r="T51" s="372" t="s">
        <v>490</v>
      </c>
      <c r="U51" s="367"/>
      <c r="V51" s="367"/>
      <c r="W51" s="600"/>
      <c r="X51" s="600"/>
      <c r="Y51" s="600"/>
      <c r="Z51" s="600"/>
      <c r="AA51" s="600"/>
      <c r="AB51" s="367"/>
      <c r="AC51" s="367"/>
      <c r="AD51" s="367"/>
      <c r="AE51" s="367"/>
      <c r="AF51" s="366"/>
      <c r="AG51" s="367"/>
      <c r="AH51" s="600"/>
      <c r="AI51" s="600"/>
      <c r="AJ51" s="600"/>
      <c r="AK51" s="600"/>
      <c r="AL51" s="600"/>
      <c r="AM51" s="367"/>
      <c r="AN51" s="367"/>
      <c r="AO51" s="367"/>
      <c r="AP51" s="367"/>
      <c r="AQ51" s="366"/>
      <c r="AR51" s="367"/>
      <c r="AS51" s="303"/>
      <c r="AU51" s="500"/>
      <c r="AV51" s="500" t="str">
        <f>IF(T51="","",T51)</f>
        <v>Добавить наименование признака дифференциации</v>
      </c>
      <c r="AW51" s="500"/>
      <c r="AX51" s="500"/>
      <c r="AY51" s="1155">
        <v>21</v>
      </c>
    </row>
    <row s="1642" customFormat="1" customHeight="1" ht="0">
      <c r="A52" s="1343" t="s">
        <v>258</v>
      </c>
      <c r="B52" s="1343" t="s">
        <v>259</v>
      </c>
      <c r="C52" s="1314"/>
      <c r="D52" s="1314"/>
      <c r="E52" s="2259"/>
      <c r="F52" s="2258"/>
      <c r="G52" s="1314"/>
      <c r="H52" s="1314"/>
      <c r="I52" s="1314"/>
      <c r="J52" s="1314"/>
      <c r="K52" s="1314"/>
      <c r="L52" s="1494"/>
      <c r="M52" s="1321"/>
      <c r="N52" s="1321"/>
      <c r="P52" s="1316"/>
      <c r="Q52" s="1317"/>
      <c r="R52" s="1316"/>
      <c r="S52" s="1322"/>
      <c r="T52" s="1325" t="s">
        <v>417</v>
      </c>
      <c r="U52" s="1324"/>
      <c r="V52" s="1324"/>
      <c r="W52" s="1324"/>
      <c r="X52" s="1324"/>
      <c r="Y52" s="1324"/>
      <c r="Z52" s="1324"/>
      <c r="AA52" s="1324"/>
      <c r="AB52" s="1324"/>
      <c r="AC52" s="1324"/>
      <c r="AD52" s="1324"/>
      <c r="AE52" s="1324"/>
      <c r="AF52" s="1324"/>
      <c r="AG52" s="1324"/>
      <c r="AH52" s="1324"/>
      <c r="AI52" s="1324"/>
      <c r="AJ52" s="1324"/>
      <c r="AK52" s="1324"/>
      <c r="AL52" s="1324"/>
      <c r="AM52" s="1324"/>
      <c r="AN52" s="1324"/>
      <c r="AO52" s="1324"/>
      <c r="AP52" s="1324"/>
      <c r="AQ52" s="1324"/>
      <c r="AR52" s="1324"/>
      <c r="AS52" s="1324"/>
      <c r="AU52" s="789"/>
      <c r="AV52" s="789" t="str">
        <f>IF(T52="","",T52)</f>
        <v>Добавить централизованную систему для дифференциации</v>
      </c>
      <c r="AW52" s="789"/>
      <c r="AX52" s="789"/>
      <c r="AY52" s="518">
        <v>0</v>
      </c>
    </row>
    <row s="1642" customFormat="1" customHeight="1" ht="0">
      <c r="A53" s="1343" t="s">
        <v>258</v>
      </c>
      <c r="B53" s="1343"/>
      <c r="C53" s="1343"/>
      <c r="D53" s="1343"/>
      <c r="E53" s="2258"/>
      <c r="F53" s="1343"/>
      <c r="G53" s="1343"/>
      <c r="H53" s="1343"/>
      <c r="I53" s="1343"/>
      <c r="J53" s="1343"/>
      <c r="K53" s="1343"/>
      <c r="L53" s="1346"/>
      <c r="M53" s="1321"/>
      <c r="N53" s="1321"/>
      <c r="O53" s="518"/>
      <c r="P53" s="380"/>
      <c r="Q53" s="1344"/>
      <c r="R53" s="380"/>
      <c r="S53" s="1322"/>
      <c r="T53" s="1325" t="s">
        <v>418</v>
      </c>
      <c r="U53" s="1324"/>
      <c r="V53" s="1324"/>
      <c r="W53" s="1324"/>
      <c r="X53" s="1324"/>
      <c r="Y53" s="1324"/>
      <c r="Z53" s="1324"/>
      <c r="AA53" s="1324"/>
      <c r="AB53" s="1324"/>
      <c r="AC53" s="1324"/>
      <c r="AD53" s="1324"/>
      <c r="AE53" s="1324"/>
      <c r="AF53" s="1324"/>
      <c r="AG53" s="1324"/>
      <c r="AH53" s="1324"/>
      <c r="AI53" s="1324"/>
      <c r="AJ53" s="1324"/>
      <c r="AK53" s="1324"/>
      <c r="AL53" s="1324"/>
      <c r="AM53" s="1324"/>
      <c r="AN53" s="1324"/>
      <c r="AO53" s="1324"/>
      <c r="AP53" s="1324"/>
      <c r="AQ53" s="1324"/>
      <c r="AR53" s="1324"/>
      <c r="AS53" s="1324"/>
      <c r="AU53" s="500"/>
      <c r="AV53" s="500" t="str">
        <f>IF(T53="","",T53)</f>
        <v>Добавить территорию для дифференциации</v>
      </c>
      <c r="AW53" s="500"/>
      <c r="AX53" s="500"/>
      <c r="AY53" s="511">
        <v>0</v>
      </c>
    </row>
    <row s="1642" customFormat="1" customHeight="1" ht="0">
      <c r="A54" s="1314"/>
      <c r="B54" s="1314"/>
      <c r="C54" s="1314"/>
      <c r="D54" s="1314"/>
      <c r="E54" s="1343"/>
      <c r="F54" s="1314"/>
      <c r="G54" s="1314"/>
      <c r="H54" s="1314"/>
      <c r="I54" s="1314"/>
      <c r="J54" s="1314"/>
      <c r="K54" s="1314"/>
      <c r="L54" s="1494"/>
      <c r="M54" s="1321"/>
      <c r="N54" s="1321"/>
      <c r="P54" s="1316"/>
      <c r="Q54" s="1317"/>
      <c r="R54" s="1316"/>
      <c r="S54" s="1322"/>
      <c r="T54" s="1325" t="s">
        <v>450</v>
      </c>
      <c r="U54" s="1324"/>
      <c r="V54" s="1324"/>
      <c r="W54" s="1324"/>
      <c r="X54" s="1324"/>
      <c r="Y54" s="1324"/>
      <c r="Z54" s="1324"/>
      <c r="AA54" s="1324"/>
      <c r="AB54" s="1324"/>
      <c r="AC54" s="1324"/>
      <c r="AD54" s="1324"/>
      <c r="AE54" s="1324"/>
      <c r="AF54" s="1324"/>
      <c r="AG54" s="1324"/>
      <c r="AH54" s="1324"/>
      <c r="AI54" s="1324"/>
      <c r="AJ54" s="1324"/>
      <c r="AK54" s="1324"/>
      <c r="AL54" s="1324"/>
      <c r="AM54" s="1324"/>
      <c r="AN54" s="1324"/>
      <c r="AO54" s="1324"/>
      <c r="AP54" s="1324"/>
      <c r="AQ54" s="1324"/>
      <c r="AR54" s="1324"/>
      <c r="AS54" s="1324"/>
      <c r="AU54" s="789"/>
      <c r="AV54" s="789" t="str">
        <f>IF(T54="","",T54)</f>
        <v>Добавить наименование тарифа</v>
      </c>
      <c r="AW54" s="789"/>
      <c r="AX54" s="789"/>
      <c r="AY54" s="518">
        <v>0</v>
      </c>
    </row>
    <row customHeight="1" ht="11.549999999999999">
      <c r="M55" s="1160"/>
      <c r="N55" s="1160"/>
      <c r="O55" s="537"/>
      <c r="P55" s="1155"/>
      <c r="Q55" s="1155"/>
      <c r="R55" s="1155"/>
      <c r="S55" s="1155"/>
      <c r="AT55" s="1155"/>
      <c r="AU55" s="1155"/>
      <c r="AV55" s="1155"/>
      <c r="AW55" s="1155"/>
      <c r="AX55" s="1155"/>
      <c r="AY55" s="1155">
        <v>11</v>
      </c>
    </row>
    <row customHeight="1" ht="14.699999999999998">
      <c r="O56" s="537"/>
      <c r="S56" s="1253"/>
      <c r="T56" s="2285"/>
      <c r="U56" s="2285"/>
      <c r="V56" s="2285"/>
      <c r="W56" s="2285"/>
      <c r="X56" s="2285"/>
      <c r="Y56" s="2285"/>
      <c r="Z56" s="2285"/>
      <c r="AA56" s="2285"/>
      <c r="AB56" s="2285"/>
      <c r="AC56" s="2285"/>
      <c r="AD56" s="2285"/>
      <c r="AE56" s="2285"/>
      <c r="AF56" s="2285"/>
      <c r="AG56" s="2285"/>
      <c r="AH56" s="2285"/>
      <c r="AI56" s="2285"/>
      <c r="AJ56" s="2285"/>
      <c r="AK56" s="2285"/>
      <c r="AL56" s="2285"/>
      <c r="AM56" s="2285"/>
      <c r="AN56" s="2285"/>
      <c r="AO56" s="2285"/>
      <c r="AP56" s="2285"/>
      <c r="AQ56" s="2285"/>
      <c r="AR56" s="2285"/>
      <c r="AS56" s="2285"/>
      <c r="AY56" s="1155">
        <v>14</v>
      </c>
    </row>
    <row customHeight="1" ht="14.699999999999998">
      <c r="O57" s="537"/>
      <c r="AY57" s="1155">
        <v>14</v>
      </c>
    </row>
    <row customHeight="1" ht="14.699999999999998">
      <c r="O58" s="537"/>
      <c r="S58" s="1253"/>
      <c r="T58" s="2285"/>
      <c r="U58" s="2285"/>
      <c r="V58" s="2285"/>
      <c r="W58" s="2285"/>
      <c r="X58" s="2285"/>
      <c r="Y58" s="2285"/>
      <c r="Z58" s="2285"/>
      <c r="AA58" s="2285"/>
      <c r="AB58" s="2285"/>
      <c r="AC58" s="2285"/>
      <c r="AD58" s="2285"/>
      <c r="AE58" s="2285"/>
      <c r="AF58" s="2285"/>
      <c r="AG58" s="2285"/>
      <c r="AH58" s="2285"/>
      <c r="AI58" s="2285"/>
      <c r="AJ58" s="2285"/>
      <c r="AK58" s="2285"/>
      <c r="AL58" s="2285"/>
      <c r="AM58" s="2285"/>
      <c r="AN58" s="2285"/>
      <c r="AO58" s="2285"/>
      <c r="AP58" s="2285"/>
      <c r="AQ58" s="2285"/>
      <c r="AR58" s="2285"/>
      <c r="AS58" s="2285"/>
      <c r="AY58" s="1155">
        <v>14</v>
      </c>
    </row>
    <row customHeight="1" ht="22.5" hidden="1">
      <c r="A59" s="1160" t="s">
        <v>82</v>
      </c>
      <c r="B59" s="1160">
        <v>0</v>
      </c>
      <c r="C59" s="1160">
        <v>0</v>
      </c>
      <c r="D59" s="1160">
        <v>0</v>
      </c>
      <c r="E59" s="1160">
        <v>0</v>
      </c>
      <c r="F59" s="1160">
        <v>0</v>
      </c>
      <c r="G59" s="1160">
        <v>0</v>
      </c>
      <c r="H59" s="1160">
        <v>0</v>
      </c>
      <c r="I59" s="1160">
        <v>0</v>
      </c>
      <c r="J59" s="1160">
        <v>0</v>
      </c>
      <c r="K59" s="1160">
        <v>0</v>
      </c>
      <c r="L59" s="1478">
        <v>0</v>
      </c>
      <c r="M59" s="1362">
        <v>0</v>
      </c>
      <c r="N59" s="1362">
        <v>0</v>
      </c>
      <c r="O59" s="1362">
        <v>0</v>
      </c>
      <c r="P59" s="1473">
        <v>3</v>
      </c>
      <c r="Q59" s="344">
        <v>3</v>
      </c>
      <c r="R59" s="344">
        <v>3</v>
      </c>
      <c r="S59" s="581">
        <v>12</v>
      </c>
      <c r="T59" s="1155">
        <v>35</v>
      </c>
      <c r="U59" s="1155">
        <v>0</v>
      </c>
      <c r="V59" s="1155">
        <v>0</v>
      </c>
      <c r="W59" s="1631">
        <v>0</v>
      </c>
      <c r="X59" s="1631">
        <v>0</v>
      </c>
      <c r="Y59" s="1631">
        <v>0</v>
      </c>
      <c r="Z59" s="1631">
        <v>0</v>
      </c>
      <c r="AA59" s="1631">
        <v>0</v>
      </c>
      <c r="AB59" s="1155">
        <v>0</v>
      </c>
      <c r="AC59" s="1155">
        <v>0</v>
      </c>
      <c r="AD59" s="1155">
        <v>0</v>
      </c>
      <c r="AE59" s="1155">
        <v>0</v>
      </c>
      <c r="AF59" s="1155">
        <v>0</v>
      </c>
      <c r="AG59" s="1155">
        <v>19</v>
      </c>
      <c r="AH59" s="1631">
        <v>19</v>
      </c>
      <c r="AI59" s="1631">
        <v>19</v>
      </c>
      <c r="AJ59" s="1631">
        <v>19</v>
      </c>
      <c r="AK59" s="1631">
        <v>19</v>
      </c>
      <c r="AL59" s="1631">
        <v>19</v>
      </c>
      <c r="AM59" s="1155">
        <v>19</v>
      </c>
      <c r="AN59" s="1155">
        <v>11</v>
      </c>
      <c r="AO59" s="1155">
        <v>3</v>
      </c>
      <c r="AP59" s="1155">
        <v>11</v>
      </c>
      <c r="AQ59" s="1155">
        <v>0</v>
      </c>
      <c r="AR59" s="1155">
        <v>4</v>
      </c>
      <c r="AS59" s="1155">
        <v>115</v>
      </c>
      <c r="AT59" s="511">
        <v>10</v>
      </c>
      <c r="AU59" s="511">
        <v>10</v>
      </c>
      <c r="AV59" s="511">
        <v>10</v>
      </c>
      <c r="AW59" s="511">
        <v>10</v>
      </c>
      <c r="AX59" s="511">
        <v>10</v>
      </c>
      <c r="AY59" s="1155">
        <v>23</v>
      </c>
    </row>
  </sheetData>
  <sheetProtection formatColumns="0" formatRows="0" autoFilter="0" sort="0" insertRows="0" insertColumns="1" deleteRows="0" deleteColumns="0"/>
  <mergeCells count="113">
    <mergeCell ref="AS47:AS48"/>
    <mergeCell ref="T56:AS56"/>
    <mergeCell ref="T58:AS58"/>
    <mergeCell ref="V46:AF46"/>
    <mergeCell ref="AG46:AR46"/>
    <mergeCell ref="AO47:AO48"/>
    <mergeCell ref="AP47:AP48"/>
    <mergeCell ref="AQ47:AQ48"/>
    <mergeCell ref="AS36:AS40"/>
    <mergeCell ref="AR37:AR40"/>
    <mergeCell ref="AL39:AM39"/>
    <mergeCell ref="V38:V40"/>
    <mergeCell ref="W38:Y38"/>
    <mergeCell ref="Z38:AB38"/>
    <mergeCell ref="W39:W40"/>
    <mergeCell ref="X39:Y39"/>
    <mergeCell ref="Z39:Z40"/>
    <mergeCell ref="AG38:AG40"/>
    <mergeCell ref="AK39:AK40"/>
    <mergeCell ref="K47:K48"/>
    <mergeCell ref="AC47:AC48"/>
    <mergeCell ref="AD47:AD48"/>
    <mergeCell ref="AE47:AE48"/>
    <mergeCell ref="AF47:AF48"/>
    <mergeCell ref="AN47:AN48"/>
    <mergeCell ref="AD41:AE41"/>
    <mergeCell ref="AO41:AP41"/>
    <mergeCell ref="E42:E53"/>
    <mergeCell ref="V42:AF42"/>
    <mergeCell ref="AG42:AR42"/>
    <mergeCell ref="F43:F52"/>
    <mergeCell ref="V43:AF43"/>
    <mergeCell ref="AG43:AR43"/>
    <mergeCell ref="G44:G51"/>
    <mergeCell ref="V44:AF44"/>
    <mergeCell ref="AG44:AR44"/>
    <mergeCell ref="H45:H51"/>
    <mergeCell ref="I45:I50"/>
    <mergeCell ref="P45:P50"/>
    <mergeCell ref="V45:AF45"/>
    <mergeCell ref="AG45:AR45"/>
    <mergeCell ref="J46:J49"/>
    <mergeCell ref="Q46:Q49"/>
    <mergeCell ref="S37:S40"/>
    <mergeCell ref="T37:T40"/>
    <mergeCell ref="V37:AE37"/>
    <mergeCell ref="AF37:AF40"/>
    <mergeCell ref="AG37:AP37"/>
    <mergeCell ref="AQ37:AQ40"/>
    <mergeCell ref="S32:T32"/>
    <mergeCell ref="V32:AE32"/>
    <mergeCell ref="AG32:AP32"/>
    <mergeCell ref="S33:T33"/>
    <mergeCell ref="V33:AE33"/>
    <mergeCell ref="AG33:AP33"/>
    <mergeCell ref="AD40:AE40"/>
    <mergeCell ref="AO40:AP40"/>
    <mergeCell ref="V35:AF35"/>
    <mergeCell ref="AG35:AQ35"/>
    <mergeCell ref="S36:AR36"/>
    <mergeCell ref="AA39:AB39"/>
    <mergeCell ref="AN38:AP39"/>
    <mergeCell ref="AC38:AE39"/>
    <mergeCell ref="AH38:AJ38"/>
    <mergeCell ref="AK38:AM38"/>
    <mergeCell ref="AH39:AH40"/>
    <mergeCell ref="AI39:AJ39"/>
    <mergeCell ref="S29:T29"/>
    <mergeCell ref="V29:AE29"/>
    <mergeCell ref="AG29:AP29"/>
    <mergeCell ref="S30:T30"/>
    <mergeCell ref="V30:AE30"/>
    <mergeCell ref="AG30:AP30"/>
    <mergeCell ref="S24:AP24"/>
    <mergeCell ref="S25:AP25"/>
    <mergeCell ref="S27:T27"/>
    <mergeCell ref="V27:AE27"/>
    <mergeCell ref="AG27:AP27"/>
    <mergeCell ref="S28:T28"/>
    <mergeCell ref="V28:AE28"/>
    <mergeCell ref="AG28:AP28"/>
    <mergeCell ref="AS7:AS8"/>
    <mergeCell ref="AN15:AN16"/>
    <mergeCell ref="AO15:AO16"/>
    <mergeCell ref="AP15:AP16"/>
    <mergeCell ref="AQ15:AQ16"/>
    <mergeCell ref="AD7:AD8"/>
    <mergeCell ref="AE7:AE8"/>
    <mergeCell ref="AF7:AF8"/>
    <mergeCell ref="AN7:AN8"/>
    <mergeCell ref="AO7:AO8"/>
    <mergeCell ref="AP7:AP8"/>
    <mergeCell ref="E2:E13"/>
    <mergeCell ref="V2:AF2"/>
    <mergeCell ref="AG2:AR2"/>
    <mergeCell ref="F3:F12"/>
    <mergeCell ref="V3:AF3"/>
    <mergeCell ref="AG3:AR3"/>
    <mergeCell ref="G4:G11"/>
    <mergeCell ref="V4:AF4"/>
    <mergeCell ref="AG4:AR4"/>
    <mergeCell ref="H5:H11"/>
    <mergeCell ref="I5:I10"/>
    <mergeCell ref="P5:P10"/>
    <mergeCell ref="V5:AF5"/>
    <mergeCell ref="AG5:AR5"/>
    <mergeCell ref="J6:J9"/>
    <mergeCell ref="Q6:Q9"/>
    <mergeCell ref="V6:AF6"/>
    <mergeCell ref="AG6:AR6"/>
    <mergeCell ref="K7:K8"/>
    <mergeCell ref="AC7:AC8"/>
    <mergeCell ref="AQ7:AQ8"/>
  </mergeCells>
  <dataValidations count="8">
    <dataValidation allowBlank="1" promptTitle="checkPeriodRange" sqref="AB65580 AB131116 AB196652 AB262188 AB327724 AB393260 AB458796 AB524332 AB589868 AB655404 AB720940 AB786476 AB852012 AB917548 AB983084 AM16 AM65580 AM131116 AM196652 AM262188 AM327724 AM393260 AM458796 AM524332 AM589868 AM655404 AM720940 AM786476 AM852012 AM917548 AM983084 AM48 AM8 AB8 AB48"/>
    <dataValidation type="list" allowBlank="1" showInputMessage="1" showErrorMessage="1" errorTitle="Ошибка" error="Выберите значение из списка" sqref="V983081:AA983081 V65577:AA65577 V131113:AA131113 V196649:AA196649 V262185:AA262185 V327721:AA327721 V393257:AA393257 V458793:AA458793 V524329:AA524329 V589865:AA589865 V655401:AA655401 V720937:AA720937 V786473:AA786473 V852009:AA852009 V917545:AA917545 AG983081:AL983081 AG65577:AL65577 AG131113:AL131113 AG196649:AL196649 AG262185:AL262185 AG327721:AL327721 AG393257:AL393257 AG458793:AL458793 AG524329:AL524329 AG589865:AL589865 AG655401:AL655401 AG720937:AL720937 AG786473:AL786473 AG852009:AL852009 AG917545:AL917545">
      <formula1>kind_of_scheme_in</formula1>
    </dataValidation>
    <dataValidation type="textLength" operator="lessThanOrEqual" allowBlank="1" showInputMessage="1" showErrorMessage="1" errorTitle="Ошибка" error="Допускается ввод не более 900 символов!" sqref="AS65573:AS65580 AS131109:AS131116 AS196645:AS196652 AS262181:AS262188 AS327717:AS327724 AS393253:AS393260 AS458789:AS458796 AS524325:AS524332 AS589861:AS589868 AS655397:AS655404 AS720933:AS720940 AS786469:AS786476 AS852005:AS852012 AS917541:AS917548 AS983077:AS983084 T47 T7 AG45:AR45 AG5:AR5">
      <formula1>900</formula1>
    </dataValidation>
    <dataValidation type="list" allowBlank="1" showInputMessage="1" showErrorMessage="1" errorTitle="Ошибка" error="Выберите значение из списка" sqref="T65579 T131115 T196651 T262187 T327723 T393259 T458795 T524331 T589867 T655403 T720939 T786475 T852011 T917547 T983083">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AC65579 AC131115 AC196651 AC262187 AC327723 AC393259 AC458795 AC524331 AC589867 AC655403 AC720939 AC786475 AC852011 AC917547 AC983083 AE65579 AE131115 AE196651 AE262187 AE327723 AE393259 AE458795 AE524331 AE589867 AE655403 AE720939 AE786475 AE852011 AE917547 AE983083 AN15 AN65579 AN131115 AN196651 AN262187 AN327723 AN393259 AN458795 AN524331 AN589867 AN655403 AN720939 AN786475 AN852011 AN917547 AN983083 AP65579 AP131115 AP196651 AP262187 AP327723 AP393259 AP458795 AP524331 AP589867 AP655403 AP720939 AP786475 AP852011 AP917547 AP983083 AP47 AN47 AP15 AP7 AN7 AC7 AE7 AC47 AE47"/>
    <dataValidation allowBlank="1" showInputMessage="1" showErrorMessage="1" prompt="Для выбора выполните двойной щелчок левой клавиши мыши по соответствующей ячейке." sqref="AD65579 AD131115 AD196651 AD262187 AD327723 AD393259 AD458795 AD524331 AD589867 AD655403 AD720939 AD786475 AD852011 AD917547 AD983083 AF131115 AF458795 AF196651 AF262187 AF327723 AF393259 AF524331 AF589867 AF655403 AF720939 AF786475 AF852011 AF917547 AF983083 AF65579 AO65579 AO131115 AO196651 AO262187 AO327723 AO393259 AO458795 AO524331 AO589867 AO655403 AO720939 AO786475 AO852011 AO917547 AO983083 AQ524331 AQ196651 AQ589867 AQ655403 AQ15 AQ720939 AQ786475 AQ852011 AQ917547 AQ983083 AQ65579 AQ131115 AQ458795 AQ262187 AQ7 AO47 AQ327723 AO15 AO7 AD7 AF7 AQ393259 AQ47 AD47 AF47"/>
    <dataValidation allowBlank="1" sqref="S131117:AS131123 S196653:AS196659 S262189:AS262195 S327725:AS327731 S393261:AS393267 S458797:AS458803 S524333:AS524339 S589869:AS589875 S655405:AS655411 S720941:AS720947 S786477:AS786483 S852013:AS852019 S917549:AS917555 S983085:AS983091 S65581:AS65587"/>
    <dataValidation type="list" allowBlank="1" showInputMessage="1" errorTitle="Ошибка" error="Выберите значение из списка" prompt="Выберите значение из списка" sqref="V983082:AR983082 V65578:AR65578 V131114:AR131114 V196650:AR196650 V262186:AR262186 V327722:AR327722 V393258:AR393258 V458794:AR458794 V524330:AR524330 V589866:AR589866 V655402:AR655402 V720938:AR720938 V786474:AR786474 V852010:AR852010 V917546:AR917546">
      <formula1>kind_of_cons</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3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AF61E5B-8743-A7FD-902D-EB100ED116FD}" mc:Ignorable="x14ac xr xr2 xr3">
  <sheetPr>
    <tabColor theme="6" tint="0.4"/>
  </sheetPr>
  <dimension ref="A1:BI69"/>
  <sheetViews>
    <sheetView showGridLines="0" zoomScale="90" workbookViewId="0">
      <pane xSplit="29" ySplit="45" topLeftCell="AD46" activePane="bottomRight" state="frozen"/>
      <selection pane="bottomLeft" activeCell="A46" sqref="A46"/>
      <selection pane="topRight" activeCell="AD1" sqref="AD1"/>
      <selection pane="bottomRight" activeCell="A1" sqref="A1"/>
    </sheetView>
  </sheetViews>
  <sheetFormatPr defaultColWidth="10.57421875" customHeight="1" defaultRowHeight="14.25"/>
  <cols>
    <col min="1" max="1" style="1366" width="11.57421875" hidden="1" customWidth="1"/>
    <col min="2" max="2" style="1366" width="11.00390625" hidden="1" customWidth="1"/>
    <col min="3" max="3" style="1366" width="10.57421875" hidden="1"/>
    <col min="4" max="4" style="1366" width="12.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2.00390625" hidden="1" customWidth="1"/>
    <col min="10" max="10" style="1366" width="9.8515625" hidden="1" customWidth="1"/>
    <col min="11" max="11" style="1366" width="11.421875" hidden="1" customWidth="1"/>
    <col min="12" max="12" style="2607" width="19.140625" hidden="1" customWidth="1"/>
    <col min="13" max="14" style="1776" width="12.28125" hidden="1" customWidth="1"/>
    <col min="15" max="15" style="1776" width="23.421875" hidden="1" customWidth="1"/>
    <col min="16" max="16" style="1776" width="3.7109375" hidden="1" customWidth="1"/>
    <col min="17" max="17" style="1371" width="3.7109375" hidden="1" customWidth="1"/>
    <col min="18" max="18" style="344" width="3.00390625" customWidth="1"/>
    <col min="19" max="19" style="2407" width="12.00390625" customWidth="1"/>
    <col min="20" max="20" style="1635" width="31.00390625" customWidth="1"/>
    <col min="21" max="21" style="1635" width="0.140625" customWidth="1"/>
    <col min="22" max="25" style="1635" width="21.7109375" hidden="1" customWidth="1"/>
    <col min="26" max="26" style="1635" width="11.7109375" hidden="1" customWidth="1"/>
    <col min="27" max="27" style="1635" width="3.7109375" hidden="1" customWidth="1"/>
    <col min="28" max="28" style="1635" width="11.7109375" hidden="1" customWidth="1"/>
    <col min="29" max="29" style="1635" width="8.57421875" hidden="1" customWidth="1"/>
    <col min="30" max="30" style="1635" width="3.7109375" customWidth="1"/>
    <col min="31" max="32" style="1635" width="3.00390625" customWidth="1"/>
    <col min="33" max="33" style="1635" width="24.00390625" customWidth="1"/>
    <col min="34" max="34" style="1635" width="3.7109375" customWidth="1"/>
    <col min="35" max="36" style="1635" width="3.00390625" customWidth="1"/>
    <col min="37" max="37" style="1635" width="24.00390625" customWidth="1"/>
    <col min="38" max="38" style="1635" width="3.7109375" customWidth="1"/>
    <col min="39" max="40" style="1635" width="3.00390625" customWidth="1"/>
    <col min="41" max="41" style="1635" width="18.00390625" customWidth="1"/>
    <col min="42" max="42" style="1635" width="3.7109375" customWidth="1"/>
    <col min="43" max="44" style="1635" width="3.00390625" customWidth="1"/>
    <col min="45" max="45" style="1635" width="18.00390625" customWidth="1"/>
    <col min="46" max="49" style="1635" width="21.00390625" customWidth="1"/>
    <col min="50" max="50" style="1635" width="11.00390625" customWidth="1"/>
    <col min="51" max="51" style="1635" width="3.7109375" customWidth="1"/>
    <col min="52" max="52" style="1635" width="11.00390625" customWidth="1"/>
    <col min="53" max="53" style="1635" width="8.57421875" hidden="1" customWidth="1"/>
    <col min="54" max="54" style="1635" width="4.00390625" customWidth="1"/>
    <col min="55" max="55" style="1635" width="115.00390625" customWidth="1"/>
    <col min="56" max="60" style="1642" width="10.00390625" customWidth="1"/>
    <col min="61" max="61" style="1635" width="10.57421875" hidden="1"/>
  </cols>
  <sheetData>
    <row customHeight="1" ht="22.5" hidden="1">
      <c r="W1" s="327"/>
      <c r="Y1" s="327"/>
      <c r="Z1" s="327"/>
      <c r="AW1" s="327"/>
      <c r="AX1" s="327"/>
      <c r="BI1" s="1155" t="s">
        <v>14</v>
      </c>
    </row>
    <row customHeight="1" ht="21" hidden="1">
      <c r="A2" s="1363"/>
      <c r="B2" s="1363"/>
      <c r="C2" s="1363"/>
      <c r="D2" s="1363"/>
      <c r="E2" s="2258">
        <v>1</v>
      </c>
      <c r="F2" s="1363"/>
      <c r="G2" s="1363"/>
      <c r="H2" s="1363"/>
      <c r="I2" s="1363"/>
      <c r="J2" s="1363"/>
      <c r="K2" s="1363"/>
      <c r="L2" s="1364"/>
      <c r="M2" s="1365"/>
      <c r="N2" s="1365"/>
      <c r="O2" s="1365"/>
      <c r="P2" s="1409"/>
      <c r="Q2" s="873"/>
      <c r="R2" s="355"/>
      <c r="S2" s="1493">
        <f>INDEX(PT_DIFFERENTIATION_NUM_NTAR,MATCH(A2,PT_DIFFERENTIATION_NTAR_ID,0))</f>
      </c>
      <c r="T2" s="298" t="s">
        <v>127</v>
      </c>
      <c r="U2" s="300"/>
      <c r="V2" s="2243"/>
      <c r="W2" s="2243"/>
      <c r="X2" s="2243"/>
      <c r="Y2" s="2243"/>
      <c r="Z2" s="2243"/>
      <c r="AA2" s="2243"/>
      <c r="AB2" s="2243"/>
      <c r="AC2" s="2244"/>
      <c r="AD2" s="2242">
        <f>INDEX(PT_DIFFERENTIATION_NTAR,MATCH(A2,PT_DIFFERENTIATION_NTAR_ID,0))</f>
      </c>
      <c r="AE2" s="2243"/>
      <c r="AF2" s="2243"/>
      <c r="AG2" s="2243"/>
      <c r="AH2" s="2243"/>
      <c r="AI2" s="2243"/>
      <c r="AJ2" s="2243"/>
      <c r="AK2" s="2243"/>
      <c r="AL2" s="2243"/>
      <c r="AM2" s="2243"/>
      <c r="AN2" s="2243"/>
      <c r="AO2" s="2243"/>
      <c r="AP2" s="2243"/>
      <c r="AQ2" s="2243"/>
      <c r="AR2" s="2243"/>
      <c r="AS2" s="2243"/>
      <c r="AT2" s="2243"/>
      <c r="AU2" s="2243"/>
      <c r="AV2" s="2243"/>
      <c r="AW2" s="2243"/>
      <c r="AX2" s="2243"/>
      <c r="AY2" s="2243"/>
      <c r="AZ2" s="2243"/>
      <c r="BA2" s="2243"/>
      <c r="BB2" s="2244"/>
      <c r="BC2"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2" s="500"/>
      <c r="BF2" s="500" t="str">
        <f>IF(T2="","",T2)</f>
        <v>Наименование тарифа</v>
      </c>
      <c r="BG2" s="500"/>
      <c r="BH2" s="500"/>
      <c r="BI2" s="1155">
        <v>0</v>
      </c>
    </row>
    <row customHeight="1" ht="21" hidden="1">
      <c r="A3" s="1363"/>
      <c r="B3" s="1363"/>
      <c r="C3" s="1363"/>
      <c r="D3" s="1363"/>
      <c r="E3" s="2259"/>
      <c r="F3" s="2258">
        <v>1</v>
      </c>
      <c r="G3" s="1363"/>
      <c r="H3" s="1363"/>
      <c r="I3" s="1363"/>
      <c r="J3" s="1363"/>
      <c r="K3" s="1363"/>
      <c r="L3" s="1364"/>
      <c r="M3" s="1365"/>
      <c r="N3" s="1365"/>
      <c r="O3" s="1365"/>
      <c r="P3" s="1410"/>
      <c r="Q3" s="1411"/>
      <c r="R3" s="353"/>
      <c r="S3" s="1493">
        <f>INDEX(PT_DIFFERENTIATION_NUM_TER,MATCH(B3,PT_DIFFERENTIATION_TER_ID,0))</f>
      </c>
      <c r="T3" s="308" t="s">
        <v>399</v>
      </c>
      <c r="U3" s="300"/>
      <c r="V3" s="2243"/>
      <c r="W3" s="2243"/>
      <c r="X3" s="2243"/>
      <c r="Y3" s="2243"/>
      <c r="Z3" s="2243"/>
      <c r="AA3" s="2243"/>
      <c r="AB3" s="2243"/>
      <c r="AC3" s="2244"/>
      <c r="AD3" s="2242">
        <f>INDEX(PT_DIFFERENTIATION_TER,MATCH(B3,PT_DIFFERENTIATION_TER_ID,0))</f>
      </c>
      <c r="AE3" s="2243"/>
      <c r="AF3" s="2243"/>
      <c r="AG3" s="2243"/>
      <c r="AH3" s="2243"/>
      <c r="AI3" s="2243"/>
      <c r="AJ3" s="2243"/>
      <c r="AK3" s="2243"/>
      <c r="AL3" s="2243"/>
      <c r="AM3" s="2243"/>
      <c r="AN3" s="2243"/>
      <c r="AO3" s="2243"/>
      <c r="AP3" s="2243"/>
      <c r="AQ3" s="2243"/>
      <c r="AR3" s="2243"/>
      <c r="AS3" s="2243"/>
      <c r="AT3" s="2243"/>
      <c r="AU3" s="2243"/>
      <c r="AV3" s="2243"/>
      <c r="AW3" s="2243"/>
      <c r="AX3" s="2243"/>
      <c r="AY3" s="2243"/>
      <c r="AZ3" s="2243"/>
      <c r="BA3" s="2243"/>
      <c r="BB3" s="2244"/>
      <c r="BC3" s="1258" t="s">
        <v>400</v>
      </c>
      <c r="BE3" s="500"/>
      <c r="BF3" s="500" t="str">
        <f>IF(T3="","",T3)</f>
        <v>Территория действия тарифа</v>
      </c>
      <c r="BG3" s="500"/>
      <c r="BH3" s="500"/>
      <c r="BI3" s="1155">
        <v>0</v>
      </c>
    </row>
    <row customHeight="1" ht="33.75" hidden="1">
      <c r="A4" s="1363"/>
      <c r="B4" s="1363"/>
      <c r="C4" s="1363"/>
      <c r="D4" s="1363"/>
      <c r="E4" s="2259"/>
      <c r="F4" s="2259"/>
      <c r="G4" s="2258">
        <v>1</v>
      </c>
      <c r="H4" s="1363"/>
      <c r="I4" s="1363"/>
      <c r="J4" s="1363"/>
      <c r="K4" s="1363"/>
      <c r="L4" s="1364"/>
      <c r="M4" s="1365"/>
      <c r="N4" s="1365"/>
      <c r="O4" s="1365"/>
      <c r="P4" s="1412"/>
      <c r="Q4" s="1411"/>
      <c r="R4" s="353"/>
      <c r="S4" s="1493">
        <f>INDEX(PT_DIFFERENTIATION_NUM_CS,MATCH(C4,PT_DIFFERENTIATION_CS_ID,0))</f>
      </c>
      <c r="T4" s="309" t="s">
        <v>532</v>
      </c>
      <c r="U4" s="300"/>
      <c r="V4" s="2243"/>
      <c r="W4" s="2243"/>
      <c r="X4" s="2243"/>
      <c r="Y4" s="2243"/>
      <c r="Z4" s="2243"/>
      <c r="AA4" s="2243"/>
      <c r="AB4" s="2243"/>
      <c r="AC4" s="2244"/>
      <c r="AD4" s="2242">
        <f>INDEX(PT_DIFFERENTIATION_CS,MATCH(C4,PT_DIFFERENTIATION_CS_ID,0))</f>
      </c>
      <c r="AE4" s="2243"/>
      <c r="AF4" s="2243"/>
      <c r="AG4" s="2243"/>
      <c r="AH4" s="2243"/>
      <c r="AI4" s="2243"/>
      <c r="AJ4" s="2243"/>
      <c r="AK4" s="2243"/>
      <c r="AL4" s="2243"/>
      <c r="AM4" s="2243"/>
      <c r="AN4" s="2243"/>
      <c r="AO4" s="2243"/>
      <c r="AP4" s="2243"/>
      <c r="AQ4" s="2243"/>
      <c r="AR4" s="2243"/>
      <c r="AS4" s="2243"/>
      <c r="AT4" s="2243"/>
      <c r="AU4" s="2243"/>
      <c r="AV4" s="2243"/>
      <c r="AW4" s="2243"/>
      <c r="AX4" s="2243"/>
      <c r="AY4" s="2243"/>
      <c r="AZ4" s="2243"/>
      <c r="BA4" s="2243"/>
      <c r="BB4" s="2244"/>
      <c r="BC4" s="1258" t="s">
        <v>533</v>
      </c>
      <c r="BE4" s="500"/>
      <c r="BF4" s="500" t="str">
        <f>IF(T4="","",T4)</f>
        <v>Наименование централизованной системы горячего водоснабжения</v>
      </c>
      <c r="BG4" s="500"/>
      <c r="BH4" s="500"/>
      <c r="BI4" s="1155">
        <v>0</v>
      </c>
    </row>
    <row s="1642" customFormat="1" customHeight="1" ht="14.25" hidden="1">
      <c r="A5" s="1343"/>
      <c r="B5" s="1343"/>
      <c r="C5" s="1343"/>
      <c r="D5" s="1343"/>
      <c r="E5" s="2259"/>
      <c r="F5" s="2259"/>
      <c r="G5" s="2259"/>
      <c r="H5" s="2258">
        <v>1</v>
      </c>
      <c r="I5" s="1343"/>
      <c r="J5" s="1343"/>
      <c r="K5" s="1343"/>
      <c r="L5" s="1346"/>
      <c r="M5" s="1315"/>
      <c r="N5" s="1315"/>
      <c r="O5" s="1315"/>
      <c r="P5" s="1497"/>
      <c r="Q5" s="1498"/>
      <c r="R5" s="357"/>
      <c r="S5" s="1042"/>
      <c r="T5" s="1499"/>
      <c r="U5" s="1384"/>
      <c r="V5" s="2297"/>
      <c r="W5" s="2297"/>
      <c r="X5" s="2297"/>
      <c r="Y5" s="2297"/>
      <c r="Z5" s="2297"/>
      <c r="AA5" s="2297"/>
      <c r="AB5" s="2297"/>
      <c r="AC5" s="2298"/>
      <c r="AD5" s="2296"/>
      <c r="AE5" s="2297"/>
      <c r="AF5" s="2297"/>
      <c r="AG5" s="2297"/>
      <c r="AH5" s="2297"/>
      <c r="AI5" s="2297"/>
      <c r="AJ5" s="2297"/>
      <c r="AK5" s="2297"/>
      <c r="AL5" s="2297"/>
      <c r="AM5" s="2297"/>
      <c r="AN5" s="2297"/>
      <c r="AO5" s="2297"/>
      <c r="AP5" s="2297"/>
      <c r="AQ5" s="2297"/>
      <c r="AR5" s="2297"/>
      <c r="AS5" s="2297"/>
      <c r="AT5" s="2297"/>
      <c r="AU5" s="2297"/>
      <c r="AV5" s="2297"/>
      <c r="AW5" s="2297"/>
      <c r="AX5" s="2297"/>
      <c r="AY5" s="2297"/>
      <c r="AZ5" s="2297"/>
      <c r="BA5" s="2297"/>
      <c r="BB5" s="2298"/>
      <c r="BC5" s="1385" t="s">
        <v>404</v>
      </c>
      <c r="BE5" s="500"/>
      <c r="BF5" s="500" t="str">
        <f>IF(T5="","",T5)</f>
        <v/>
      </c>
      <c r="BG5" s="500"/>
      <c r="BH5" s="500"/>
      <c r="BI5" s="511">
        <v>0</v>
      </c>
    </row>
    <row s="1642" customFormat="1" customHeight="1" ht="14.25" hidden="1">
      <c r="A6" s="1343"/>
      <c r="B6" s="1343"/>
      <c r="C6" s="1343"/>
      <c r="D6" s="1343"/>
      <c r="E6" s="2259"/>
      <c r="F6" s="2259"/>
      <c r="G6" s="2259"/>
      <c r="H6" s="2259"/>
      <c r="I6" s="2256" t="str">
        <f>S5&amp;".1"</f>
        <v>.1</v>
      </c>
      <c r="J6" s="1343"/>
      <c r="K6" s="1343"/>
      <c r="L6" s="1346" t="s">
        <v>405</v>
      </c>
      <c r="M6" s="510"/>
      <c r="N6" s="510"/>
      <c r="O6" s="510"/>
      <c r="P6" s="2257">
        <v>1</v>
      </c>
      <c r="Q6" s="1481"/>
      <c r="R6" s="356"/>
      <c r="S6" s="1042"/>
      <c r="T6" s="1383"/>
      <c r="U6" s="1384"/>
      <c r="V6" s="2297"/>
      <c r="W6" s="2297"/>
      <c r="X6" s="2297"/>
      <c r="Y6" s="2297"/>
      <c r="Z6" s="2297"/>
      <c r="AA6" s="2297"/>
      <c r="AB6" s="2297"/>
      <c r="AC6" s="2298"/>
      <c r="AD6" s="2296"/>
      <c r="AE6" s="2297"/>
      <c r="AF6" s="2297"/>
      <c r="AG6" s="2297"/>
      <c r="AH6" s="2297"/>
      <c r="AI6" s="2297"/>
      <c r="AJ6" s="2297"/>
      <c r="AK6" s="2297"/>
      <c r="AL6" s="2297"/>
      <c r="AM6" s="2297"/>
      <c r="AN6" s="2297"/>
      <c r="AO6" s="2297"/>
      <c r="AP6" s="2297"/>
      <c r="AQ6" s="2297"/>
      <c r="AR6" s="2297"/>
      <c r="AS6" s="2297"/>
      <c r="AT6" s="2297"/>
      <c r="AU6" s="2297"/>
      <c r="AV6" s="2297"/>
      <c r="AW6" s="2297"/>
      <c r="AX6" s="2297"/>
      <c r="AY6" s="2297"/>
      <c r="AZ6" s="2297"/>
      <c r="BA6" s="2297"/>
      <c r="BB6" s="2298"/>
      <c r="BC6" s="1385"/>
      <c r="BE6" s="500"/>
      <c r="BF6" s="500" t="str">
        <f>IF(T6="","",T6)</f>
        <v/>
      </c>
      <c r="BG6" s="500"/>
      <c r="BH6" s="500"/>
      <c r="BI6" s="511">
        <v>0</v>
      </c>
    </row>
    <row s="1642" customFormat="1" customHeight="1" ht="14.25" hidden="1">
      <c r="A7" s="1343"/>
      <c r="B7" s="1343"/>
      <c r="C7" s="1343"/>
      <c r="D7" s="1343"/>
      <c r="E7" s="2259"/>
      <c r="F7" s="2259"/>
      <c r="G7" s="2259"/>
      <c r="H7" s="2259"/>
      <c r="I7" s="2286"/>
      <c r="J7" s="2256" t="str">
        <f>S5&amp;".1"</f>
        <v>.1</v>
      </c>
      <c r="K7" s="1343"/>
      <c r="L7" s="1346"/>
      <c r="M7" s="510"/>
      <c r="N7" s="510"/>
      <c r="O7" s="510"/>
      <c r="P7" s="2257"/>
      <c r="Q7" s="2257">
        <v>1</v>
      </c>
      <c r="R7" s="357"/>
      <c r="S7" s="1042"/>
      <c r="T7" s="1399"/>
      <c r="U7" s="1384"/>
      <c r="V7" s="2297"/>
      <c r="W7" s="2297"/>
      <c r="X7" s="2297"/>
      <c r="Y7" s="2297"/>
      <c r="Z7" s="2297"/>
      <c r="AA7" s="2297"/>
      <c r="AB7" s="2297"/>
      <c r="AC7" s="2298"/>
      <c r="AD7" s="2296"/>
      <c r="AE7" s="2297"/>
      <c r="AF7" s="2297"/>
      <c r="AG7" s="2297"/>
      <c r="AH7" s="2297"/>
      <c r="AI7" s="2297"/>
      <c r="AJ7" s="2297"/>
      <c r="AK7" s="2297"/>
      <c r="AL7" s="2297"/>
      <c r="AM7" s="2297"/>
      <c r="AN7" s="2297"/>
      <c r="AO7" s="2297"/>
      <c r="AP7" s="2297"/>
      <c r="AQ7" s="2297"/>
      <c r="AR7" s="2297"/>
      <c r="AS7" s="2297"/>
      <c r="AT7" s="2297"/>
      <c r="AU7" s="2297"/>
      <c r="AV7" s="2297"/>
      <c r="AW7" s="2297"/>
      <c r="AX7" s="2297"/>
      <c r="AY7" s="2297"/>
      <c r="AZ7" s="2297"/>
      <c r="BA7" s="2297"/>
      <c r="BB7" s="2298"/>
      <c r="BC7" s="1385"/>
      <c r="BE7" s="500"/>
      <c r="BF7" s="500" t="str">
        <f>IF(T7="","",T7)</f>
        <v/>
      </c>
      <c r="BG7" s="500"/>
      <c r="BH7" s="500"/>
      <c r="BI7" s="511">
        <v>0</v>
      </c>
    </row>
    <row customHeight="1" ht="11.25" hidden="1">
      <c r="A8" s="1363"/>
      <c r="B8" s="1363"/>
      <c r="C8" s="1363"/>
      <c r="D8" s="1363"/>
      <c r="E8" s="2259"/>
      <c r="F8" s="2259"/>
      <c r="G8" s="2259"/>
      <c r="H8" s="2259"/>
      <c r="I8" s="2286"/>
      <c r="J8" s="2286"/>
      <c r="K8" s="2256">
        <f>S4&amp;".1"</f>
      </c>
      <c r="L8" s="1364"/>
      <c r="P8" s="2257"/>
      <c r="Q8" s="2257"/>
      <c r="R8" s="2347">
        <v>1</v>
      </c>
      <c r="S8" s="2341">
        <f>$K8</f>
      </c>
      <c r="T8" s="2360"/>
      <c r="U8" s="300"/>
      <c r="V8" s="751"/>
      <c r="W8" s="1257"/>
      <c r="X8" s="751"/>
      <c r="Y8" s="1257"/>
      <c r="Z8" s="1734"/>
      <c r="AA8" s="1469" t="s">
        <v>66</v>
      </c>
      <c r="AB8" s="1734"/>
      <c r="AC8" s="1469" t="s">
        <v>66</v>
      </c>
      <c r="AD8" s="2185" t="s">
        <v>66</v>
      </c>
      <c r="AE8" s="2326"/>
      <c r="AF8" s="2205">
        <v>1</v>
      </c>
      <c r="AG8" s="2363"/>
      <c r="AH8" s="2107" t="s">
        <v>66</v>
      </c>
      <c r="AI8" s="2326"/>
      <c r="AJ8" s="2205">
        <v>1</v>
      </c>
      <c r="AK8" s="2327" t="s">
        <v>22</v>
      </c>
      <c r="AL8" s="2107" t="s">
        <v>66</v>
      </c>
      <c r="AM8" s="2192"/>
      <c r="AN8" s="2205">
        <v>1</v>
      </c>
      <c r="AO8" s="2357"/>
      <c r="AP8" s="2358" t="s">
        <v>66</v>
      </c>
      <c r="AQ8" s="311"/>
      <c r="AR8" s="1486">
        <v>1</v>
      </c>
      <c r="AS8" s="1492" t="s">
        <v>22</v>
      </c>
      <c r="AT8" s="751"/>
      <c r="AU8" s="1257"/>
      <c r="AV8" s="751"/>
      <c r="AW8" s="1257"/>
      <c r="AX8" s="1734"/>
      <c r="AY8" s="1469" t="s">
        <v>66</v>
      </c>
      <c r="AZ8" s="1734"/>
      <c r="BA8" s="1469" t="s">
        <v>66</v>
      </c>
      <c r="BB8" s="1348"/>
      <c r="BC8" s="2253" t="s">
        <v>503</v>
      </c>
      <c r="BE8" s="500"/>
      <c r="BF8" s="500" t="str">
        <f>IF(T8="","",T8)</f>
        <v/>
      </c>
      <c r="BG8" s="500"/>
      <c r="BH8" s="500"/>
      <c r="BI8" s="1155">
        <v>0</v>
      </c>
    </row>
    <row customHeight="1" ht="11.25" hidden="1">
      <c r="A9" s="1363"/>
      <c r="B9" s="1363"/>
      <c r="C9" s="1363"/>
      <c r="D9" s="1363"/>
      <c r="E9" s="2259"/>
      <c r="F9" s="2259"/>
      <c r="G9" s="2259"/>
      <c r="H9" s="2259"/>
      <c r="I9" s="2286"/>
      <c r="J9" s="2286"/>
      <c r="K9" s="2256"/>
      <c r="L9" s="1364"/>
      <c r="P9" s="2257"/>
      <c r="Q9" s="2257"/>
      <c r="R9" s="2347"/>
      <c r="S9" s="2342"/>
      <c r="T9" s="2361"/>
      <c r="U9" s="300"/>
      <c r="V9" s="1393"/>
      <c r="W9" s="1496"/>
      <c r="X9" s="1393"/>
      <c r="Y9" s="1496"/>
      <c r="Z9" s="1393"/>
      <c r="AA9" s="1393"/>
      <c r="AB9" s="1393"/>
      <c r="AC9" s="1393"/>
      <c r="AD9" s="2186"/>
      <c r="AE9" s="2326"/>
      <c r="AF9" s="2205"/>
      <c r="AG9" s="2363"/>
      <c r="AH9" s="2107"/>
      <c r="AI9" s="2326"/>
      <c r="AJ9" s="2205"/>
      <c r="AK9" s="2327"/>
      <c r="AL9" s="2107"/>
      <c r="AM9" s="2200"/>
      <c r="AN9" s="2205"/>
      <c r="AO9" s="2357"/>
      <c r="AP9" s="2359"/>
      <c r="AQ9" s="316"/>
      <c r="AR9" s="416"/>
      <c r="AS9" s="416" t="s">
        <v>504</v>
      </c>
      <c r="AT9" s="1393"/>
      <c r="AU9" s="1496"/>
      <c r="AV9" s="1393"/>
      <c r="AW9" s="1496"/>
      <c r="AX9" s="1393"/>
      <c r="AY9" s="1393"/>
      <c r="AZ9" s="1393"/>
      <c r="BA9" s="1393"/>
      <c r="BB9" s="1397"/>
      <c r="BC9" s="2254"/>
      <c r="BE9" s="500"/>
      <c r="BF9" s="500"/>
      <c r="BG9" s="500"/>
      <c r="BH9" s="500"/>
      <c r="BI9" s="1155">
        <v>0</v>
      </c>
    </row>
    <row customHeight="1" ht="11.25" hidden="1">
      <c r="A10" s="1363"/>
      <c r="B10" s="1363"/>
      <c r="C10" s="1363"/>
      <c r="D10" s="1363"/>
      <c r="E10" s="2259"/>
      <c r="F10" s="2259"/>
      <c r="G10" s="2259"/>
      <c r="H10" s="2259"/>
      <c r="I10" s="2286"/>
      <c r="J10" s="2286"/>
      <c r="K10" s="2256"/>
      <c r="L10" s="1364"/>
      <c r="P10" s="2257"/>
      <c r="Q10" s="2257"/>
      <c r="R10" s="2347"/>
      <c r="S10" s="2342"/>
      <c r="T10" s="2361"/>
      <c r="U10" s="300"/>
      <c r="V10" s="1393"/>
      <c r="W10" s="1496"/>
      <c r="X10" s="1393"/>
      <c r="Y10" s="1496"/>
      <c r="Z10" s="1393"/>
      <c r="AA10" s="1393"/>
      <c r="AB10" s="1393"/>
      <c r="AC10" s="1393"/>
      <c r="AD10" s="2186"/>
      <c r="AE10" s="2326"/>
      <c r="AF10" s="2205"/>
      <c r="AG10" s="2363"/>
      <c r="AH10" s="2107"/>
      <c r="AI10" s="2326"/>
      <c r="AJ10" s="2205"/>
      <c r="AK10" s="2327"/>
      <c r="AL10" s="2107"/>
      <c r="AM10" s="316"/>
      <c r="AN10" s="1500"/>
      <c r="AO10" s="1500" t="s">
        <v>505</v>
      </c>
      <c r="AP10" s="416"/>
      <c r="AQ10" s="416"/>
      <c r="AR10" s="416"/>
      <c r="AS10" s="1393"/>
      <c r="AT10" s="1393"/>
      <c r="AU10" s="1496"/>
      <c r="AV10" s="1393"/>
      <c r="AW10" s="1496"/>
      <c r="AX10" s="1393"/>
      <c r="AY10" s="1393"/>
      <c r="AZ10" s="1393"/>
      <c r="BA10" s="1393"/>
      <c r="BB10" s="1397"/>
      <c r="BC10" s="2254"/>
      <c r="BE10" s="500"/>
      <c r="BF10" s="500"/>
      <c r="BG10" s="500"/>
      <c r="BH10" s="500"/>
      <c r="BI10" s="1155">
        <v>0</v>
      </c>
    </row>
    <row customHeight="1" ht="11.25" hidden="1">
      <c r="A11" s="1363"/>
      <c r="B11" s="1363"/>
      <c r="C11" s="1363"/>
      <c r="D11" s="1363"/>
      <c r="E11" s="2259"/>
      <c r="F11" s="2259"/>
      <c r="G11" s="2259"/>
      <c r="H11" s="2259"/>
      <c r="I11" s="2286"/>
      <c r="J11" s="2286"/>
      <c r="K11" s="2256"/>
      <c r="L11" s="1364"/>
      <c r="P11" s="2257"/>
      <c r="Q11" s="2257"/>
      <c r="R11" s="2347"/>
      <c r="S11" s="2342"/>
      <c r="T11" s="2361"/>
      <c r="U11" s="300"/>
      <c r="V11" s="1393"/>
      <c r="W11" s="1496"/>
      <c r="X11" s="1393"/>
      <c r="Y11" s="1496"/>
      <c r="Z11" s="1393"/>
      <c r="AA11" s="1393"/>
      <c r="AB11" s="1393"/>
      <c r="AC11" s="1393"/>
      <c r="AD11" s="2186"/>
      <c r="AE11" s="2326"/>
      <c r="AF11" s="2205"/>
      <c r="AG11" s="2363"/>
      <c r="AH11" s="2107"/>
      <c r="AI11" s="294"/>
      <c r="AJ11" s="415"/>
      <c r="AK11" s="313" t="s">
        <v>506</v>
      </c>
      <c r="AL11" s="1393"/>
      <c r="AM11" s="1393"/>
      <c r="AN11" s="1393"/>
      <c r="AO11" s="1393"/>
      <c r="AP11" s="1393"/>
      <c r="AQ11" s="1393"/>
      <c r="AR11" s="1393"/>
      <c r="AS11" s="1393"/>
      <c r="AT11" s="1393"/>
      <c r="AU11" s="1496"/>
      <c r="AV11" s="1393"/>
      <c r="AW11" s="1496"/>
      <c r="AX11" s="1393"/>
      <c r="AY11" s="1393"/>
      <c r="AZ11" s="1393"/>
      <c r="BA11" s="1393"/>
      <c r="BB11" s="1397"/>
      <c r="BC11" s="2254"/>
      <c r="BE11" s="500"/>
      <c r="BF11" s="500"/>
      <c r="BG11" s="500"/>
      <c r="BH11" s="500"/>
      <c r="BI11" s="1155">
        <v>0</v>
      </c>
    </row>
    <row customHeight="1" ht="11.25" hidden="1">
      <c r="A12" s="1363"/>
      <c r="B12" s="1363"/>
      <c r="C12" s="1363"/>
      <c r="D12" s="1363"/>
      <c r="E12" s="2259"/>
      <c r="F12" s="2259"/>
      <c r="G12" s="2259"/>
      <c r="H12" s="2259"/>
      <c r="I12" s="2286"/>
      <c r="J12" s="2286"/>
      <c r="K12" s="2256"/>
      <c r="L12" s="1364"/>
      <c r="P12" s="2257"/>
      <c r="Q12" s="2257"/>
      <c r="R12" s="2347"/>
      <c r="S12" s="2343"/>
      <c r="T12" s="2362"/>
      <c r="U12" s="300"/>
      <c r="V12" s="1393"/>
      <c r="W12" s="1394" t="str">
        <f>Z8&amp;"-"&amp;AB8</f>
        <v>-</v>
      </c>
      <c r="X12" s="1393"/>
      <c r="Y12" s="1394" t="str">
        <f>AB8&amp;"-"&amp;AD8</f>
        <v>-да</v>
      </c>
      <c r="Z12" s="1393"/>
      <c r="AA12" s="1393"/>
      <c r="AB12" s="1393"/>
      <c r="AC12" s="1393"/>
      <c r="AD12" s="2112"/>
      <c r="AE12" s="312"/>
      <c r="AF12" s="314"/>
      <c r="AG12" s="416" t="s">
        <v>507</v>
      </c>
      <c r="AH12" s="1393"/>
      <c r="AI12" s="1393"/>
      <c r="AJ12" s="1393"/>
      <c r="AK12" s="1393"/>
      <c r="AL12" s="1393"/>
      <c r="AM12" s="1393"/>
      <c r="AN12" s="1393"/>
      <c r="AO12" s="1393"/>
      <c r="AP12" s="1393"/>
      <c r="AQ12" s="1393"/>
      <c r="AR12" s="1393"/>
      <c r="AS12" s="1393"/>
      <c r="AT12" s="1393"/>
      <c r="AU12" s="1394" t="str">
        <f>AX8&amp;"-"&amp;AZ8</f>
        <v>-</v>
      </c>
      <c r="AV12" s="1393"/>
      <c r="AW12" s="1394" t="str">
        <f>AZ8&amp;"-"&amp;BB8</f>
        <v>-</v>
      </c>
      <c r="AX12" s="1393"/>
      <c r="AY12" s="1393"/>
      <c r="AZ12" s="1393"/>
      <c r="BA12" s="1393"/>
      <c r="BB12" s="1396" t="str">
        <f>BE8&amp;"-"&amp;BG8</f>
        <v>-</v>
      </c>
      <c r="BC12" s="2254"/>
      <c r="BE12" s="500"/>
      <c r="BF12" s="500" t="str">
        <f>IF(T12="","",T12)</f>
        <v/>
      </c>
      <c r="BG12" s="500"/>
      <c r="BH12" s="500"/>
      <c r="BI12" s="1155">
        <v>0</v>
      </c>
    </row>
    <row customHeight="1" ht="11.25" hidden="1">
      <c r="A13" s="1363"/>
      <c r="B13" s="1363"/>
      <c r="C13" s="1363"/>
      <c r="D13" s="1363"/>
      <c r="E13" s="2259"/>
      <c r="F13" s="2259"/>
      <c r="G13" s="2259"/>
      <c r="H13" s="2259"/>
      <c r="I13" s="2286"/>
      <c r="J13" s="2256"/>
      <c r="K13" s="1363"/>
      <c r="L13" s="1364"/>
      <c r="P13" s="2257"/>
      <c r="Q13" s="2257"/>
      <c r="R13" s="356"/>
      <c r="S13" s="1278"/>
      <c r="T13" s="287" t="s">
        <v>470</v>
      </c>
      <c r="U13" s="367"/>
      <c r="V13" s="367"/>
      <c r="W13" s="367"/>
      <c r="X13" s="367"/>
      <c r="Y13" s="367"/>
      <c r="Z13" s="367"/>
      <c r="AA13" s="367"/>
      <c r="AB13" s="367"/>
      <c r="AC13" s="367"/>
      <c r="AD13" s="1505"/>
      <c r="AE13" s="367"/>
      <c r="AF13" s="367"/>
      <c r="AG13" s="367"/>
      <c r="AH13" s="367"/>
      <c r="AI13" s="367"/>
      <c r="AJ13" s="367"/>
      <c r="AK13" s="367"/>
      <c r="AL13" s="367"/>
      <c r="AM13" s="367"/>
      <c r="AN13" s="367"/>
      <c r="AO13" s="367"/>
      <c r="AP13" s="367"/>
      <c r="AQ13" s="367"/>
      <c r="AR13" s="367"/>
      <c r="AS13" s="367"/>
      <c r="AT13" s="367"/>
      <c r="AU13" s="367"/>
      <c r="AV13" s="367"/>
      <c r="AW13" s="367"/>
      <c r="AX13" s="367"/>
      <c r="AY13" s="367"/>
      <c r="AZ13" s="367"/>
      <c r="BA13" s="367"/>
      <c r="BB13" s="324"/>
      <c r="BC13" s="2255"/>
      <c r="BE13" s="500"/>
      <c r="BF13" s="500" t="str">
        <f>IF(T13="","",T13)</f>
        <v>Добавить строку</v>
      </c>
      <c r="BG13" s="500"/>
      <c r="BH13" s="500"/>
      <c r="BI13" s="1155">
        <v>0</v>
      </c>
    </row>
    <row s="1642" customFormat="1" customHeight="1" ht="14.25" hidden="1">
      <c r="A14" s="1343"/>
      <c r="B14" s="1343"/>
      <c r="C14" s="1343"/>
      <c r="D14" s="1343"/>
      <c r="E14" s="2259"/>
      <c r="F14" s="2259"/>
      <c r="G14" s="2259"/>
      <c r="H14" s="2259"/>
      <c r="I14" s="2256"/>
      <c r="J14" s="1343"/>
      <c r="K14" s="1343"/>
      <c r="L14" s="1346"/>
      <c r="M14" s="510"/>
      <c r="N14" s="510"/>
      <c r="O14" s="510"/>
      <c r="P14" s="2257"/>
      <c r="Q14" s="1481"/>
      <c r="R14" s="356"/>
      <c r="S14" s="1386"/>
      <c r="T14" s="1387"/>
      <c r="U14" s="1388"/>
      <c r="V14" s="1388"/>
      <c r="W14" s="1388"/>
      <c r="X14" s="1388"/>
      <c r="Y14" s="1388"/>
      <c r="Z14" s="1388"/>
      <c r="AA14" s="1388"/>
      <c r="AB14" s="1388"/>
      <c r="AC14" s="1388"/>
      <c r="AD14" s="1388"/>
      <c r="AE14" s="1388"/>
      <c r="AF14" s="1388"/>
      <c r="AG14" s="1388"/>
      <c r="AH14" s="1388"/>
      <c r="AI14" s="1388"/>
      <c r="AJ14" s="1388"/>
      <c r="AK14" s="1388"/>
      <c r="AL14" s="1388"/>
      <c r="AM14" s="1388"/>
      <c r="AN14" s="1388"/>
      <c r="AO14" s="1388"/>
      <c r="AP14" s="1388"/>
      <c r="AQ14" s="1388"/>
      <c r="AR14" s="1388"/>
      <c r="AS14" s="1388"/>
      <c r="AT14" s="1388"/>
      <c r="AU14" s="1388"/>
      <c r="AV14" s="1388"/>
      <c r="AW14" s="1388"/>
      <c r="AX14" s="1388"/>
      <c r="AY14" s="1388"/>
      <c r="AZ14" s="1388"/>
      <c r="BA14" s="1388"/>
      <c r="BB14" s="1388"/>
      <c r="BC14" s="1389"/>
      <c r="BE14" s="500"/>
      <c r="BF14" s="500" t="str">
        <f>IF(T14="","",T14)</f>
        <v/>
      </c>
      <c r="BG14" s="500"/>
      <c r="BH14" s="500"/>
      <c r="BI14" s="511">
        <v>0</v>
      </c>
    </row>
    <row s="1642" customFormat="1" customHeight="1" ht="14.25" hidden="1">
      <c r="A15" s="1343"/>
      <c r="B15" s="1343"/>
      <c r="C15" s="1343"/>
      <c r="D15" s="1343"/>
      <c r="E15" s="2259"/>
      <c r="F15" s="2259"/>
      <c r="G15" s="2259"/>
      <c r="H15" s="2258"/>
      <c r="I15" s="1343"/>
      <c r="J15" s="1343"/>
      <c r="K15" s="1343"/>
      <c r="L15" s="1346"/>
      <c r="M15" s="1315"/>
      <c r="N15" s="1315"/>
      <c r="O15" s="518"/>
      <c r="P15" s="380"/>
      <c r="Q15" s="1344"/>
      <c r="R15" s="1401"/>
      <c r="S15" s="1386"/>
      <c r="T15" s="1387"/>
      <c r="U15" s="1388"/>
      <c r="V15" s="1388"/>
      <c r="W15" s="1388"/>
      <c r="X15" s="1388"/>
      <c r="Y15" s="1388"/>
      <c r="Z15" s="1388"/>
      <c r="AA15" s="1388"/>
      <c r="AB15" s="1388"/>
      <c r="AC15" s="1388"/>
      <c r="AD15" s="1388"/>
      <c r="AE15" s="1388"/>
      <c r="AF15" s="1388"/>
      <c r="AG15" s="1388"/>
      <c r="AH15" s="1388"/>
      <c r="AI15" s="1388"/>
      <c r="AJ15" s="1388"/>
      <c r="AK15" s="1388"/>
      <c r="AL15" s="1388"/>
      <c r="AM15" s="1388"/>
      <c r="AN15" s="1388"/>
      <c r="AO15" s="1388"/>
      <c r="AP15" s="1388"/>
      <c r="AQ15" s="1388"/>
      <c r="AR15" s="1388"/>
      <c r="AS15" s="1388"/>
      <c r="AT15" s="1388"/>
      <c r="AU15" s="1388"/>
      <c r="AV15" s="1388"/>
      <c r="AW15" s="1388"/>
      <c r="AX15" s="1388"/>
      <c r="AY15" s="1388"/>
      <c r="AZ15" s="1388"/>
      <c r="BA15" s="1388"/>
      <c r="BB15" s="1388"/>
      <c r="BC15" s="1389"/>
      <c r="BE15" s="500"/>
      <c r="BF15" s="500" t="str">
        <f>IF(T15="","",T15)</f>
        <v/>
      </c>
      <c r="BG15" s="500"/>
      <c r="BH15" s="500"/>
      <c r="BI15" s="511">
        <v>0</v>
      </c>
    </row>
    <row s="1642" customFormat="1" customHeight="1" ht="14.25" hidden="1">
      <c r="A16" s="1343"/>
      <c r="B16" s="1343"/>
      <c r="C16" s="1343"/>
      <c r="D16" s="1314"/>
      <c r="E16" s="2259"/>
      <c r="F16" s="2259"/>
      <c r="G16" s="2258"/>
      <c r="H16" s="1314"/>
      <c r="I16" s="1314"/>
      <c r="J16" s="1314"/>
      <c r="K16" s="1314"/>
      <c r="L16" s="1494"/>
      <c r="M16" s="1315"/>
      <c r="N16" s="1315"/>
      <c r="P16" s="1316"/>
      <c r="Q16" s="1317"/>
      <c r="R16" s="1316"/>
      <c r="S16" s="1322"/>
      <c r="T16" s="1325"/>
      <c r="U16" s="1324"/>
      <c r="V16" s="1324"/>
      <c r="W16" s="1324"/>
      <c r="X16" s="1324"/>
      <c r="Y16" s="1324"/>
      <c r="Z16" s="1324"/>
      <c r="AA16" s="1324"/>
      <c r="AB16" s="1324"/>
      <c r="AC16" s="1324"/>
      <c r="AD16" s="1324"/>
      <c r="AE16" s="1324"/>
      <c r="AF16" s="1324"/>
      <c r="AG16" s="1324"/>
      <c r="AH16" s="1324"/>
      <c r="AI16" s="1324"/>
      <c r="AJ16" s="1324"/>
      <c r="AK16" s="1324"/>
      <c r="AL16" s="1324"/>
      <c r="AM16" s="1324"/>
      <c r="AN16" s="1324"/>
      <c r="AO16" s="1324"/>
      <c r="AP16" s="1324"/>
      <c r="AQ16" s="1324"/>
      <c r="AR16" s="1324"/>
      <c r="AS16" s="1324"/>
      <c r="AT16" s="1324"/>
      <c r="AU16" s="1324"/>
      <c r="AV16" s="1324"/>
      <c r="AW16" s="1324"/>
      <c r="AX16" s="1324"/>
      <c r="AY16" s="1324"/>
      <c r="AZ16" s="1324"/>
      <c r="BA16" s="1324"/>
      <c r="BB16" s="1324"/>
      <c r="BC16" s="1324"/>
      <c r="BE16" s="789"/>
      <c r="BF16" s="789" t="str">
        <f>IF(T16="","",T16)</f>
        <v/>
      </c>
      <c r="BG16" s="789"/>
      <c r="BH16" s="789"/>
      <c r="BI16" s="518">
        <v>0</v>
      </c>
    </row>
    <row s="1642" customFormat="1" customHeight="1" ht="14.25" hidden="1">
      <c r="A17" s="1343"/>
      <c r="B17" s="1343"/>
      <c r="C17" s="1314"/>
      <c r="D17" s="1314"/>
      <c r="E17" s="2259"/>
      <c r="F17" s="2258"/>
      <c r="G17" s="1314"/>
      <c r="H17" s="1314"/>
      <c r="I17" s="1314"/>
      <c r="J17" s="1314"/>
      <c r="K17" s="1314"/>
      <c r="L17" s="1494"/>
      <c r="M17" s="1321"/>
      <c r="N17" s="1321"/>
      <c r="P17" s="1316"/>
      <c r="Q17" s="1317"/>
      <c r="R17" s="1316"/>
      <c r="S17" s="1322"/>
      <c r="T17" s="1325" t="s">
        <v>417</v>
      </c>
      <c r="U17" s="1324"/>
      <c r="V17" s="1324"/>
      <c r="W17" s="1324"/>
      <c r="X17" s="1324"/>
      <c r="Y17" s="1324"/>
      <c r="Z17" s="1324"/>
      <c r="AA17" s="1324"/>
      <c r="AB17" s="1324"/>
      <c r="AC17" s="1324"/>
      <c r="AD17" s="1324"/>
      <c r="AE17" s="1324"/>
      <c r="AF17" s="1324"/>
      <c r="AG17" s="1324"/>
      <c r="AH17" s="1324"/>
      <c r="AI17" s="1324"/>
      <c r="AJ17" s="1324"/>
      <c r="AK17" s="1324"/>
      <c r="AL17" s="1324"/>
      <c r="AM17" s="1324"/>
      <c r="AN17" s="1324"/>
      <c r="AO17" s="1324"/>
      <c r="AP17" s="1324"/>
      <c r="AQ17" s="1324"/>
      <c r="AR17" s="1324"/>
      <c r="AS17" s="1324"/>
      <c r="AT17" s="1324"/>
      <c r="AU17" s="1324"/>
      <c r="AV17" s="1324"/>
      <c r="AW17" s="1324"/>
      <c r="AX17" s="1324"/>
      <c r="AY17" s="1324"/>
      <c r="AZ17" s="1324"/>
      <c r="BA17" s="1324"/>
      <c r="BB17" s="1324"/>
      <c r="BC17" s="1324"/>
      <c r="BE17" s="789"/>
      <c r="BF17" s="789" t="str">
        <f>IF(T17="","",T17)</f>
        <v>Добавить централизованную систему для дифференциации</v>
      </c>
      <c r="BG17" s="789"/>
      <c r="BH17" s="789"/>
      <c r="BI17" s="518">
        <v>0</v>
      </c>
    </row>
    <row s="1642" customFormat="1" customHeight="1" ht="14.25" hidden="1">
      <c r="A18" s="1343"/>
      <c r="B18" s="1343"/>
      <c r="C18" s="1343"/>
      <c r="D18" s="1343"/>
      <c r="E18" s="2258"/>
      <c r="F18" s="1343"/>
      <c r="G18" s="1343"/>
      <c r="H18" s="1343"/>
      <c r="I18" s="1343"/>
      <c r="J18" s="1343"/>
      <c r="K18" s="1343"/>
      <c r="L18" s="1346"/>
      <c r="M18" s="1321"/>
      <c r="N18" s="1321"/>
      <c r="O18" s="518"/>
      <c r="P18" s="380"/>
      <c r="Q18" s="1344"/>
      <c r="R18" s="380"/>
      <c r="S18" s="1322"/>
      <c r="T18" s="1325" t="s">
        <v>418</v>
      </c>
      <c r="U18" s="1324"/>
      <c r="V18" s="1324"/>
      <c r="W18" s="1324"/>
      <c r="X18" s="1324"/>
      <c r="Y18" s="1324"/>
      <c r="Z18" s="1324"/>
      <c r="AA18" s="1324"/>
      <c r="AB18" s="1324"/>
      <c r="AC18" s="1324"/>
      <c r="AD18" s="1324"/>
      <c r="AE18" s="1324"/>
      <c r="AF18" s="1324"/>
      <c r="AG18" s="1324"/>
      <c r="AH18" s="1324"/>
      <c r="AI18" s="1324"/>
      <c r="AJ18" s="1324"/>
      <c r="AK18" s="1324"/>
      <c r="AL18" s="1324"/>
      <c r="AM18" s="1324"/>
      <c r="AN18" s="1324"/>
      <c r="AO18" s="1324"/>
      <c r="AP18" s="1324"/>
      <c r="AQ18" s="1324"/>
      <c r="AR18" s="1324"/>
      <c r="AS18" s="1324"/>
      <c r="AT18" s="1324"/>
      <c r="AU18" s="1324"/>
      <c r="AV18" s="1324"/>
      <c r="AW18" s="1324"/>
      <c r="AX18" s="1324"/>
      <c r="AY18" s="1324"/>
      <c r="AZ18" s="1324"/>
      <c r="BA18" s="1324"/>
      <c r="BB18" s="1324"/>
      <c r="BC18" s="1324"/>
      <c r="BE18" s="500"/>
      <c r="BF18" s="500" t="str">
        <f>IF(T18="","",T18)</f>
        <v>Добавить территорию для дифференциации</v>
      </c>
      <c r="BG18" s="500"/>
      <c r="BH18" s="500"/>
      <c r="BI18" s="511">
        <v>0</v>
      </c>
    </row>
    <row customHeight="1" ht="14.25" hidden="1">
      <c r="AC19" s="327"/>
      <c r="BA19" s="327"/>
      <c r="BI19" s="1155">
        <v>0</v>
      </c>
    </row>
    <row customHeight="1" ht="14.25" hidden="1">
      <c r="AD20" s="1324" t="s">
        <v>19</v>
      </c>
      <c r="AE20" s="1501"/>
      <c r="AF20" s="548">
        <v>1</v>
      </c>
      <c r="AG20" s="1502"/>
      <c r="AH20" s="1324" t="s">
        <v>19</v>
      </c>
      <c r="AI20" s="1501"/>
      <c r="AJ20" s="548">
        <v>1</v>
      </c>
      <c r="AK20" s="1502"/>
      <c r="AL20" s="1324" t="s">
        <v>19</v>
      </c>
      <c r="AM20" s="1503"/>
      <c r="AN20" s="548">
        <v>1</v>
      </c>
      <c r="AO20" s="1504"/>
      <c r="AP20" s="1324" t="s">
        <v>19</v>
      </c>
      <c r="AQ20" s="1503"/>
      <c r="AR20" s="548">
        <v>1</v>
      </c>
      <c r="AS20" s="1504"/>
      <c r="AT20" s="325"/>
      <c r="AU20" s="384"/>
      <c r="AV20" s="325"/>
      <c r="AW20" s="384"/>
      <c r="AX20" s="1736"/>
      <c r="AY20" s="1485" t="s">
        <v>66</v>
      </c>
      <c r="AZ20" s="1736"/>
      <c r="BA20" s="1485" t="s">
        <v>66</v>
      </c>
      <c r="BI20" s="1155">
        <v>0</v>
      </c>
    </row>
    <row customHeight="1" ht="14.25" hidden="1">
      <c r="BD21" s="496"/>
      <c r="BE21" s="496"/>
      <c r="BF21" s="496"/>
      <c r="BG21" s="496"/>
      <c r="BH21" s="496"/>
      <c r="BI21" s="1155">
        <v>0</v>
      </c>
    </row>
    <row customHeight="1" ht="14.25" hidden="1">
      <c r="O22" s="1367" t="s">
        <v>419</v>
      </c>
      <c r="Z22" s="1345"/>
      <c r="AB22" s="1345"/>
      <c r="AC22" s="327"/>
      <c r="AX22" s="1345"/>
      <c r="AZ22" s="1345"/>
      <c r="BA22" s="327"/>
      <c r="BD22" s="496"/>
      <c r="BE22" s="496"/>
      <c r="BF22" s="496"/>
      <c r="BG22" s="496"/>
      <c r="BH22" s="496"/>
      <c r="BI22" s="1155">
        <v>0</v>
      </c>
    </row>
    <row customHeight="1" ht="14.25" hidden="1">
      <c r="AC23" s="327"/>
      <c r="BA23" s="327"/>
      <c r="BD23" s="496"/>
      <c r="BE23" s="496"/>
      <c r="BF23" s="496"/>
      <c r="BG23" s="496"/>
      <c r="BH23" s="496"/>
      <c r="BI23" s="1155">
        <v>0</v>
      </c>
    </row>
    <row s="1509" customFormat="1" customHeight="1" ht="14.25" hidden="1">
      <c r="M24" s="1508"/>
      <c r="N24" s="1508"/>
      <c r="O24" s="1509" t="s">
        <v>420</v>
      </c>
      <c r="P24" s="1508"/>
      <c r="Q24" s="1510"/>
      <c r="R24" s="1510"/>
      <c r="AA24" s="1507" t="s">
        <v>422</v>
      </c>
      <c r="AC24" s="1507" t="s">
        <v>423</v>
      </c>
      <c r="AD24" s="1507" t="s">
        <v>471</v>
      </c>
      <c r="AH24" s="1507" t="s">
        <v>471</v>
      </c>
      <c r="AK24" s="1507" t="s">
        <v>508</v>
      </c>
      <c r="AL24" s="1507" t="s">
        <v>471</v>
      </c>
      <c r="AP24" s="1507" t="s">
        <v>471</v>
      </c>
      <c r="AY24" s="1507" t="s">
        <v>422</v>
      </c>
      <c r="BA24" s="1507" t="s">
        <v>423</v>
      </c>
      <c r="BD24" s="1511"/>
      <c r="BE24" s="1511"/>
      <c r="BF24" s="1511"/>
      <c r="BG24" s="1511"/>
      <c r="BH24" s="1511"/>
      <c r="BI24" s="1507">
        <v>0</v>
      </c>
    </row>
    <row customHeight="1" ht="14.25" hidden="1">
      <c r="O25" s="1364"/>
      <c r="BD25" s="496"/>
      <c r="BE25" s="496"/>
      <c r="BF25" s="496"/>
      <c r="BG25" s="496"/>
      <c r="BH25" s="496"/>
      <c r="BI25" s="1155">
        <v>0</v>
      </c>
    </row>
    <row customHeight="1" ht="14.25" hidden="1">
      <c r="O26" s="1364"/>
      <c r="BD26" s="496"/>
      <c r="BE26" s="496"/>
      <c r="BF26" s="496"/>
      <c r="BG26" s="496"/>
      <c r="BH26" s="496"/>
      <c r="BI26" s="1155">
        <v>0</v>
      </c>
    </row>
    <row customHeight="1" ht="14.699999999999998">
      <c r="Q27" s="291"/>
      <c r="R27" s="376"/>
      <c r="S27" s="1275"/>
      <c r="T27" s="363"/>
      <c r="U27" s="363"/>
      <c r="V27" s="509"/>
      <c r="W27" s="509"/>
      <c r="X27" s="509"/>
      <c r="Y27" s="509"/>
      <c r="Z27" s="509"/>
      <c r="AA27" s="509"/>
      <c r="AB27" s="509"/>
      <c r="AC27" s="509"/>
      <c r="AD27" s="509"/>
      <c r="AE27" s="509"/>
      <c r="AF27" s="509"/>
      <c r="AG27" s="509"/>
      <c r="AH27" s="509"/>
      <c r="AI27" s="509"/>
      <c r="AJ27" s="509"/>
      <c r="AK27" s="509"/>
      <c r="AL27" s="509"/>
      <c r="AM27" s="509"/>
      <c r="AN27" s="509"/>
      <c r="AO27" s="509"/>
      <c r="AP27" s="509"/>
      <c r="AQ27" s="509"/>
      <c r="AR27" s="509"/>
      <c r="AS27" s="509"/>
      <c r="AT27" s="509"/>
      <c r="AU27" s="509"/>
      <c r="AV27" s="509"/>
      <c r="AW27" s="509"/>
      <c r="AX27" s="509"/>
      <c r="AY27" s="509"/>
      <c r="AZ27" s="509"/>
      <c r="BA27" s="509"/>
      <c r="BI27" s="1155">
        <v>14</v>
      </c>
    </row>
    <row customHeight="1" ht="14.699999999999998">
      <c r="Q28" s="291"/>
      <c r="R28" s="376"/>
      <c r="S28" s="2248" t="str">
        <f>IF(TEMPLATE_GROUP="P",PT_P_FORM_HOTVSNA_5_NAME_FORM,PT_R_FORM_HOTVSNA_17_NAME_FORM)</f>
        <v>Форма 14. Информация о предложении организации горячего водоснабжения расчетной величины тарифов на подключение (технологическое присоединение) к централизованной системе горячего водоснабжения</v>
      </c>
      <c r="T28" s="2248"/>
      <c r="U28" s="2248"/>
      <c r="V28" s="2248"/>
      <c r="W28" s="2248"/>
      <c r="X28" s="2248"/>
      <c r="Y28" s="2248"/>
      <c r="Z28" s="2248"/>
      <c r="AA28" s="2248"/>
      <c r="AB28" s="2248"/>
      <c r="AC28" s="2248"/>
      <c r="AD28" s="2248"/>
      <c r="AE28" s="2248"/>
      <c r="AF28" s="2248"/>
      <c r="AG28" s="2248"/>
      <c r="AH28" s="2248"/>
      <c r="AI28" s="2248"/>
      <c r="AJ28" s="2248"/>
      <c r="AK28" s="2248"/>
      <c r="AL28" s="2248"/>
      <c r="AM28" s="2248"/>
      <c r="AN28" s="2248"/>
      <c r="AO28" s="2248"/>
      <c r="AP28" s="2248"/>
      <c r="AQ28" s="2248"/>
      <c r="AR28" s="2248"/>
      <c r="AS28" s="2248"/>
      <c r="AT28" s="2248"/>
      <c r="AU28" s="2248"/>
      <c r="AV28" s="2248"/>
      <c r="AW28" s="2248"/>
      <c r="AX28" s="2248"/>
      <c r="AY28" s="2248"/>
      <c r="AZ28" s="2248"/>
      <c r="BA28" s="1243"/>
      <c r="BI28" s="1155">
        <v>14</v>
      </c>
    </row>
    <row customHeight="1" ht="14.699999999999998">
      <c r="Q29" s="291"/>
      <c r="R29" s="376"/>
      <c r="S29" s="2249" t="str">
        <f>IF(org=0,"Не определено",org)</f>
        <v>ПАО "ОГК-2"</v>
      </c>
      <c r="T29" s="2249"/>
      <c r="U29" s="2249"/>
      <c r="V29" s="2249"/>
      <c r="W29" s="2249"/>
      <c r="X29" s="2249"/>
      <c r="Y29" s="2249"/>
      <c r="Z29" s="2249"/>
      <c r="AA29" s="2249"/>
      <c r="AB29" s="2249"/>
      <c r="AC29" s="2249"/>
      <c r="AD29" s="2249"/>
      <c r="AE29" s="2249"/>
      <c r="AF29" s="2249"/>
      <c r="AG29" s="2249"/>
      <c r="AH29" s="2249"/>
      <c r="AI29" s="2249"/>
      <c r="AJ29" s="2249"/>
      <c r="AK29" s="2249"/>
      <c r="AL29" s="2249"/>
      <c r="AM29" s="2249"/>
      <c r="AN29" s="2249"/>
      <c r="AO29" s="2249"/>
      <c r="AP29" s="2249"/>
      <c r="AQ29" s="2249"/>
      <c r="AR29" s="2249"/>
      <c r="AS29" s="2249"/>
      <c r="AT29" s="2249"/>
      <c r="AU29" s="2249"/>
      <c r="AV29" s="2249"/>
      <c r="AW29" s="2249"/>
      <c r="AX29" s="2249"/>
      <c r="AY29" s="2249"/>
      <c r="AZ29" s="2249"/>
      <c r="BA29" s="1243"/>
      <c r="BI29" s="1155">
        <v>14</v>
      </c>
    </row>
    <row customHeight="1" ht="14.25" hidden="1">
      <c r="Q30" s="291"/>
      <c r="R30" s="376"/>
      <c r="S30" s="1275"/>
      <c r="T30" s="363"/>
      <c r="U30" s="363"/>
      <c r="V30" s="322"/>
      <c r="W30" s="322"/>
      <c r="X30" s="322"/>
      <c r="Y30" s="322"/>
      <c r="Z30" s="322"/>
      <c r="AA30" s="322"/>
      <c r="AB30" s="322"/>
      <c r="AC30" s="322"/>
      <c r="AD30" s="322"/>
      <c r="AE30" s="322"/>
      <c r="AF30" s="322"/>
      <c r="AG30" s="322"/>
      <c r="AH30" s="322"/>
      <c r="AI30" s="322"/>
      <c r="AJ30" s="322"/>
      <c r="AK30" s="322"/>
      <c r="AL30" s="322"/>
      <c r="AM30" s="322"/>
      <c r="AN30" s="322"/>
      <c r="AO30" s="322"/>
      <c r="AP30" s="322"/>
      <c r="AQ30" s="322"/>
      <c r="AR30" s="322"/>
      <c r="AS30" s="322"/>
      <c r="AT30" s="322"/>
      <c r="AU30" s="322"/>
      <c r="AV30" s="322"/>
      <c r="AW30" s="322"/>
      <c r="AX30" s="322"/>
      <c r="AY30" s="322"/>
      <c r="AZ30" s="322"/>
      <c r="BA30" s="322"/>
      <c r="BB30" s="509"/>
      <c r="BI30" s="1155">
        <v>0</v>
      </c>
    </row>
    <row s="1853" customFormat="1" customHeight="1" ht="25.5" hidden="1">
      <c r="A31" s="1368"/>
      <c r="B31" s="1368"/>
      <c r="C31" s="1368"/>
      <c r="D31" s="1368"/>
      <c r="E31" s="1368"/>
      <c r="F31" s="1368"/>
      <c r="G31" s="1368"/>
      <c r="H31" s="1368"/>
      <c r="I31" s="1368"/>
      <c r="J31" s="1368"/>
      <c r="K31" s="1368"/>
      <c r="L31" s="1369"/>
      <c r="M31" s="1368"/>
      <c r="N31" s="1368"/>
      <c r="O31" s="1368"/>
      <c r="P31" s="1368"/>
      <c r="Q31" s="1368"/>
      <c r="S31" s="2250" t="s">
        <v>42</v>
      </c>
      <c r="T31" s="2250"/>
      <c r="U31" s="1372"/>
      <c r="V31" s="2251" t="str">
        <f>IF(TITLE_NAME_OR_PR_CHANGE="",IF(TITLE_NAME_OR_PR="","",TITLE_NAME_OR_PR),TITLE_NAME_OR_PR_CHANGE)</f>
        <v/>
      </c>
      <c r="W31" s="2251"/>
      <c r="X31" s="2251"/>
      <c r="Y31" s="2251"/>
      <c r="Z31" s="2251"/>
      <c r="AA31" s="2251"/>
      <c r="AB31" s="2251"/>
      <c r="AC31" s="326"/>
      <c r="AD31" s="2251" t="str">
        <f>IF(TITLE_NAME_OR_PR_CHANGE="",IF(TITLE_NAME_OR_PR="","",TITLE_NAME_OR_PR),TITLE_NAME_OR_PR_CHANGE)</f>
        <v/>
      </c>
      <c r="AE31" s="2251"/>
      <c r="AF31" s="2251"/>
      <c r="AG31" s="2251"/>
      <c r="AH31" s="2251"/>
      <c r="AI31" s="2251"/>
      <c r="AJ31" s="2251"/>
      <c r="AK31" s="2251"/>
      <c r="AL31" s="2251"/>
      <c r="AM31" s="2251"/>
      <c r="AN31" s="2251"/>
      <c r="AO31" s="2251"/>
      <c r="AP31" s="2251"/>
      <c r="AQ31" s="2251"/>
      <c r="AR31" s="2251"/>
      <c r="AS31" s="2251"/>
      <c r="AT31" s="2251"/>
      <c r="AU31" s="2251"/>
      <c r="AV31" s="2251"/>
      <c r="AW31" s="2251"/>
      <c r="AX31" s="2251"/>
      <c r="AY31" s="2251"/>
      <c r="AZ31" s="2251"/>
      <c r="BA31" s="326"/>
      <c r="BB31" s="326"/>
      <c r="BC31" s="280"/>
      <c r="BD31" s="368"/>
      <c r="BE31" s="368"/>
      <c r="BF31" s="368"/>
      <c r="BG31" s="368"/>
      <c r="BH31" s="368"/>
      <c r="BI31" s="418">
        <v>0</v>
      </c>
    </row>
    <row s="1853" customFormat="1" customHeight="1" ht="18.75" hidden="1">
      <c r="A32" s="1368"/>
      <c r="B32" s="1368"/>
      <c r="C32" s="1368"/>
      <c r="D32" s="1368"/>
      <c r="E32" s="1368"/>
      <c r="F32" s="1368"/>
      <c r="G32" s="1368"/>
      <c r="H32" s="1368"/>
      <c r="I32" s="1368"/>
      <c r="J32" s="1368"/>
      <c r="K32" s="1368"/>
      <c r="L32" s="1369"/>
      <c r="M32" s="1368"/>
      <c r="N32" s="1368"/>
      <c r="O32" s="1368"/>
      <c r="P32" s="1368"/>
      <c r="Q32" s="1368"/>
      <c r="S32" s="2250" t="s">
        <v>425</v>
      </c>
      <c r="T32" s="2250"/>
      <c r="U32" s="1372"/>
      <c r="V32" s="2264" t="str">
        <f>IF(TITLE_DATE_PR_CHANGE="",IF(TITLE_DATE_PR="","",TITLE_DATE_PR),TITLE_DATE_PR_CHANGE)</f>
        <v/>
      </c>
      <c r="W32" s="2264"/>
      <c r="X32" s="2264"/>
      <c r="Y32" s="2264"/>
      <c r="Z32" s="2264"/>
      <c r="AA32" s="2264"/>
      <c r="AB32" s="2264"/>
      <c r="AC32" s="326"/>
      <c r="AD32" s="2264" t="str">
        <f>IF(TITLE_DATE_PR_CHANGE="",IF(TITLE_DATE_PR="","",TITLE_DATE_PR),TITLE_DATE_PR_CHANGE)</f>
        <v/>
      </c>
      <c r="AE32" s="2264"/>
      <c r="AF32" s="2264"/>
      <c r="AG32" s="2264"/>
      <c r="AH32" s="2264"/>
      <c r="AI32" s="2264"/>
      <c r="AJ32" s="2264"/>
      <c r="AK32" s="2264"/>
      <c r="AL32" s="2264"/>
      <c r="AM32" s="2264"/>
      <c r="AN32" s="2264"/>
      <c r="AO32" s="2264"/>
      <c r="AP32" s="2264"/>
      <c r="AQ32" s="2264"/>
      <c r="AR32" s="2264"/>
      <c r="AS32" s="2264"/>
      <c r="AT32" s="2264"/>
      <c r="AU32" s="2264"/>
      <c r="AV32" s="2264"/>
      <c r="AW32" s="2264"/>
      <c r="AX32" s="2264"/>
      <c r="AY32" s="2264"/>
      <c r="AZ32" s="2264"/>
      <c r="BA32" s="326"/>
      <c r="BB32" s="326"/>
      <c r="BC32" s="280"/>
      <c r="BD32" s="368"/>
      <c r="BE32" s="368"/>
      <c r="BF32" s="368"/>
      <c r="BG32" s="368"/>
      <c r="BH32" s="368"/>
      <c r="BI32" s="418">
        <v>0</v>
      </c>
    </row>
    <row s="1853" customFormat="1" customHeight="1" ht="18.75" hidden="1">
      <c r="A33" s="1368"/>
      <c r="B33" s="1368"/>
      <c r="C33" s="1368"/>
      <c r="D33" s="1368"/>
      <c r="E33" s="1368"/>
      <c r="F33" s="1368"/>
      <c r="G33" s="1368"/>
      <c r="H33" s="1368"/>
      <c r="I33" s="1368"/>
      <c r="J33" s="1368"/>
      <c r="K33" s="1368"/>
      <c r="L33" s="1369"/>
      <c r="M33" s="1368"/>
      <c r="N33" s="1368"/>
      <c r="O33" s="1368"/>
      <c r="P33" s="1368"/>
      <c r="Q33" s="1368"/>
      <c r="S33" s="2250" t="s">
        <v>426</v>
      </c>
      <c r="T33" s="2250"/>
      <c r="U33" s="1372"/>
      <c r="V33" s="2251" t="str">
        <f>IF(TITLE_NUMBER_PR_CHANGE="",IF(TITLE_NUMBER_PR="","",TITLE_NUMBER_PR),TITLE_NUMBER_PR_CHANGE)</f>
        <v/>
      </c>
      <c r="W33" s="2251"/>
      <c r="X33" s="2251"/>
      <c r="Y33" s="2251"/>
      <c r="Z33" s="2251"/>
      <c r="AA33" s="2251"/>
      <c r="AB33" s="2251"/>
      <c r="AC33" s="326"/>
      <c r="AD33" s="2251" t="str">
        <f>IF(TITLE_NUMBER_PR_CHANGE="",IF(TITLE_NUMBER_PR="","",TITLE_NUMBER_PR),TITLE_NUMBER_PR_CHANGE)</f>
        <v/>
      </c>
      <c r="AE33" s="2251"/>
      <c r="AF33" s="2251"/>
      <c r="AG33" s="2251"/>
      <c r="AH33" s="2251"/>
      <c r="AI33" s="2251"/>
      <c r="AJ33" s="2251"/>
      <c r="AK33" s="2251"/>
      <c r="AL33" s="2251"/>
      <c r="AM33" s="2251"/>
      <c r="AN33" s="2251"/>
      <c r="AO33" s="2251"/>
      <c r="AP33" s="2251"/>
      <c r="AQ33" s="2251"/>
      <c r="AR33" s="2251"/>
      <c r="AS33" s="2251"/>
      <c r="AT33" s="2251"/>
      <c r="AU33" s="2251"/>
      <c r="AV33" s="2251"/>
      <c r="AW33" s="2251"/>
      <c r="AX33" s="2251"/>
      <c r="AY33" s="2251"/>
      <c r="AZ33" s="2251"/>
      <c r="BA33" s="326"/>
      <c r="BB33" s="326"/>
      <c r="BC33" s="280"/>
      <c r="BD33" s="368"/>
      <c r="BE33" s="368"/>
      <c r="BF33" s="368"/>
      <c r="BG33" s="368"/>
      <c r="BH33" s="368"/>
      <c r="BI33" s="418">
        <v>0</v>
      </c>
    </row>
    <row s="1853" customFormat="1" customHeight="1" ht="18.75" hidden="1">
      <c r="A34" s="1368"/>
      <c r="B34" s="1368"/>
      <c r="C34" s="1368"/>
      <c r="D34" s="1368"/>
      <c r="E34" s="1368"/>
      <c r="F34" s="1368"/>
      <c r="G34" s="1368"/>
      <c r="H34" s="1368"/>
      <c r="I34" s="1368"/>
      <c r="J34" s="1368"/>
      <c r="K34" s="1368"/>
      <c r="L34" s="1369"/>
      <c r="M34" s="1368"/>
      <c r="N34" s="1368"/>
      <c r="O34" s="1368"/>
      <c r="P34" s="1368"/>
      <c r="Q34" s="1368"/>
      <c r="S34" s="2250" t="s">
        <v>43</v>
      </c>
      <c r="T34" s="2250"/>
      <c r="U34" s="1372"/>
      <c r="V34" s="2251" t="str">
        <f>IF(TITLE_IST_PUB_CHANGE="",IF(TITLE_IST_PUB="","",TITLE_IST_PUB),TITLE_IST_PUB_CHANGE)</f>
        <v/>
      </c>
      <c r="W34" s="2251"/>
      <c r="X34" s="2251"/>
      <c r="Y34" s="2251"/>
      <c r="Z34" s="2251"/>
      <c r="AA34" s="2251"/>
      <c r="AB34" s="2251"/>
      <c r="AC34" s="326"/>
      <c r="AD34" s="2251" t="str">
        <f>IF(TITLE_IST_PUB_CHANGE="",IF(TITLE_IST_PUB="","",TITLE_IST_PUB),TITLE_IST_PUB_CHANGE)</f>
        <v/>
      </c>
      <c r="AE34" s="2251"/>
      <c r="AF34" s="2251"/>
      <c r="AG34" s="2251"/>
      <c r="AH34" s="2251"/>
      <c r="AI34" s="2251"/>
      <c r="AJ34" s="2251"/>
      <c r="AK34" s="2251"/>
      <c r="AL34" s="2251"/>
      <c r="AM34" s="2251"/>
      <c r="AN34" s="2251"/>
      <c r="AO34" s="2251"/>
      <c r="AP34" s="2251"/>
      <c r="AQ34" s="2251"/>
      <c r="AR34" s="2251"/>
      <c r="AS34" s="2251"/>
      <c r="AT34" s="2251"/>
      <c r="AU34" s="2251"/>
      <c r="AV34" s="2251"/>
      <c r="AW34" s="2251"/>
      <c r="AX34" s="2251"/>
      <c r="AY34" s="2251"/>
      <c r="AZ34" s="2251"/>
      <c r="BA34" s="326"/>
      <c r="BB34" s="326"/>
      <c r="BC34" s="280"/>
      <c r="BD34" s="368"/>
      <c r="BE34" s="368"/>
      <c r="BF34" s="368"/>
      <c r="BG34" s="368"/>
      <c r="BH34" s="368"/>
      <c r="BI34" s="418">
        <v>0</v>
      </c>
    </row>
    <row customHeight="1" ht="14.25" hidden="1">
      <c r="Q35" s="291"/>
      <c r="R35" s="376"/>
      <c r="S35" s="1275"/>
      <c r="T35" s="363"/>
      <c r="U35" s="363"/>
      <c r="V35" s="322"/>
      <c r="W35" s="322"/>
      <c r="X35" s="322"/>
      <c r="Y35" s="322"/>
      <c r="Z35" s="322"/>
      <c r="AA35" s="322"/>
      <c r="AB35" s="322"/>
      <c r="AC35" s="322"/>
      <c r="AD35" s="322"/>
      <c r="AE35" s="322"/>
      <c r="AF35" s="322"/>
      <c r="AG35" s="322"/>
      <c r="AH35" s="322"/>
      <c r="AI35" s="322"/>
      <c r="AJ35" s="322"/>
      <c r="AK35" s="322"/>
      <c r="AL35" s="322"/>
      <c r="AM35" s="322"/>
      <c r="AN35" s="322"/>
      <c r="AO35" s="322"/>
      <c r="AP35" s="322"/>
      <c r="AQ35" s="322"/>
      <c r="AR35" s="322"/>
      <c r="AS35" s="322"/>
      <c r="AT35" s="322"/>
      <c r="AU35" s="322"/>
      <c r="AV35" s="322"/>
      <c r="AW35" s="322"/>
      <c r="AX35" s="322"/>
      <c r="AY35" s="322"/>
      <c r="AZ35" s="322"/>
      <c r="BA35" s="322"/>
      <c r="BB35" s="509"/>
      <c r="BI35" s="1155">
        <v>0</v>
      </c>
    </row>
    <row s="1853" customFormat="1" customHeight="1" ht="18.75" hidden="1">
      <c r="A36" s="1368"/>
      <c r="B36" s="1368"/>
      <c r="C36" s="1368"/>
      <c r="D36" s="1368"/>
      <c r="E36" s="1368"/>
      <c r="F36" s="1368"/>
      <c r="G36" s="1368"/>
      <c r="H36" s="1368"/>
      <c r="I36" s="1368"/>
      <c r="J36" s="1368"/>
      <c r="K36" s="1368"/>
      <c r="L36" s="1369"/>
      <c r="M36" s="1368"/>
      <c r="N36" s="1368"/>
      <c r="O36" s="1368"/>
      <c r="P36" s="1368"/>
      <c r="Q36" s="1368"/>
      <c r="S36" s="2250" t="s">
        <v>425</v>
      </c>
      <c r="T36" s="2250"/>
      <c r="U36" s="1372"/>
      <c r="V36" s="2264" t="str">
        <f>IF(TITLE_DATE_PR_CHANGE="",IF(TITLE_DATE_PR="","",TITLE_DATE_PR),TITLE_DATE_PR_CHANGE)</f>
        <v/>
      </c>
      <c r="W36" s="2264"/>
      <c r="X36" s="2264"/>
      <c r="Y36" s="2264"/>
      <c r="Z36" s="2264"/>
      <c r="AA36" s="2264"/>
      <c r="AB36" s="2264"/>
      <c r="AC36" s="326"/>
      <c r="AD36" s="2264" t="str">
        <f>IF(TITLE_DATE_PR_CHANGE="",IF(TITLE_DATE_PR="","",TITLE_DATE_PR),TITLE_DATE_PR_CHANGE)</f>
        <v/>
      </c>
      <c r="AE36" s="2264"/>
      <c r="AF36" s="2264"/>
      <c r="AG36" s="2264"/>
      <c r="AH36" s="2264"/>
      <c r="AI36" s="2264"/>
      <c r="AJ36" s="2264"/>
      <c r="AK36" s="2264"/>
      <c r="AL36" s="2264"/>
      <c r="AM36" s="2264"/>
      <c r="AN36" s="2264"/>
      <c r="AO36" s="2264"/>
      <c r="AP36" s="2264"/>
      <c r="AQ36" s="2264"/>
      <c r="AR36" s="2264"/>
      <c r="AS36" s="2264"/>
      <c r="AT36" s="2264"/>
      <c r="AU36" s="2264"/>
      <c r="AV36" s="2264"/>
      <c r="AW36" s="2264"/>
      <c r="AX36" s="2264"/>
      <c r="AY36" s="2264"/>
      <c r="AZ36" s="2264"/>
      <c r="BA36" s="326"/>
      <c r="BB36" s="326"/>
      <c r="BC36" s="280"/>
      <c r="BD36" s="368"/>
      <c r="BE36" s="368"/>
      <c r="BF36" s="368"/>
      <c r="BG36" s="368"/>
      <c r="BH36" s="368"/>
      <c r="BI36" s="418">
        <v>0</v>
      </c>
    </row>
    <row s="1853" customFormat="1" customHeight="1" ht="18.75" hidden="1">
      <c r="A37" s="1368"/>
      <c r="B37" s="1368"/>
      <c r="C37" s="1368"/>
      <c r="D37" s="1368"/>
      <c r="E37" s="1368"/>
      <c r="F37" s="1368"/>
      <c r="G37" s="1368"/>
      <c r="H37" s="1368"/>
      <c r="I37" s="1368"/>
      <c r="J37" s="1368"/>
      <c r="K37" s="1368"/>
      <c r="L37" s="1369"/>
      <c r="M37" s="1368"/>
      <c r="N37" s="1368"/>
      <c r="O37" s="1368"/>
      <c r="P37" s="1368"/>
      <c r="Q37" s="1368"/>
      <c r="S37" s="2250" t="s">
        <v>426</v>
      </c>
      <c r="T37" s="2250"/>
      <c r="U37" s="1372"/>
      <c r="V37" s="2251" t="str">
        <f>IF(TITLE_NUMBER_PR_CHANGE="",IF(TITLE_NUMBER_PR="","",TITLE_NUMBER_PR),TITLE_NUMBER_PR_CHANGE)</f>
        <v/>
      </c>
      <c r="W37" s="2251"/>
      <c r="X37" s="2251"/>
      <c r="Y37" s="2251"/>
      <c r="Z37" s="2251"/>
      <c r="AA37" s="2251"/>
      <c r="AB37" s="2251"/>
      <c r="AC37" s="326"/>
      <c r="AD37" s="2251" t="str">
        <f>IF(TITLE_NUMBER_PR_CHANGE="",IF(TITLE_NUMBER_PR="","",TITLE_NUMBER_PR),TITLE_NUMBER_PR_CHANGE)</f>
        <v/>
      </c>
      <c r="AE37" s="2251"/>
      <c r="AF37" s="2251"/>
      <c r="AG37" s="2251"/>
      <c r="AH37" s="2251"/>
      <c r="AI37" s="2251"/>
      <c r="AJ37" s="2251"/>
      <c r="AK37" s="2251"/>
      <c r="AL37" s="2251"/>
      <c r="AM37" s="2251"/>
      <c r="AN37" s="2251"/>
      <c r="AO37" s="2251"/>
      <c r="AP37" s="2251"/>
      <c r="AQ37" s="2251"/>
      <c r="AR37" s="2251"/>
      <c r="AS37" s="2251"/>
      <c r="AT37" s="2251"/>
      <c r="AU37" s="2251"/>
      <c r="AV37" s="2251"/>
      <c r="AW37" s="2251"/>
      <c r="AX37" s="2251"/>
      <c r="AY37" s="2251"/>
      <c r="AZ37" s="2251"/>
      <c r="BA37" s="326"/>
      <c r="BB37" s="326"/>
      <c r="BC37" s="280"/>
      <c r="BD37" s="368"/>
      <c r="BE37" s="368"/>
      <c r="BF37" s="368"/>
      <c r="BG37" s="368"/>
      <c r="BH37" s="368"/>
      <c r="BI37" s="418">
        <v>0</v>
      </c>
    </row>
    <row s="1853" customFormat="1" customHeight="1" ht="0">
      <c r="A38" s="1368"/>
      <c r="B38" s="1368"/>
      <c r="C38" s="1368"/>
      <c r="D38" s="1368"/>
      <c r="E38" s="1368"/>
      <c r="F38" s="1368"/>
      <c r="G38" s="1368"/>
      <c r="H38" s="1368"/>
      <c r="I38" s="1368"/>
      <c r="J38" s="1368"/>
      <c r="K38" s="1368"/>
      <c r="L38" s="1369"/>
      <c r="M38" s="1368"/>
      <c r="N38" s="1368"/>
      <c r="O38" s="1368"/>
      <c r="P38" s="1368"/>
      <c r="Q38" s="1368"/>
      <c r="S38" s="323"/>
      <c r="T38" s="323"/>
      <c r="U38" s="1488"/>
      <c r="V38" s="326"/>
      <c r="W38" s="326"/>
      <c r="X38" s="326"/>
      <c r="Y38" s="326"/>
      <c r="Z38" s="326"/>
      <c r="AA38" s="326"/>
      <c r="AB38" s="326"/>
      <c r="AC38" s="278" t="s">
        <v>429</v>
      </c>
      <c r="AD38" s="326"/>
      <c r="AE38" s="326"/>
      <c r="AF38" s="326"/>
      <c r="AG38" s="326"/>
      <c r="AH38" s="326"/>
      <c r="AI38" s="326"/>
      <c r="AJ38" s="326"/>
      <c r="AK38" s="326"/>
      <c r="AL38" s="326"/>
      <c r="AM38" s="326"/>
      <c r="AN38" s="326"/>
      <c r="AO38" s="326"/>
      <c r="AP38" s="326"/>
      <c r="AQ38" s="326"/>
      <c r="AR38" s="326"/>
      <c r="AS38" s="326"/>
      <c r="AT38" s="326"/>
      <c r="AU38" s="326"/>
      <c r="AV38" s="326"/>
      <c r="AW38" s="326"/>
      <c r="AX38" s="326"/>
      <c r="AY38" s="326"/>
      <c r="AZ38" s="326"/>
      <c r="BA38" s="278" t="s">
        <v>429</v>
      </c>
      <c r="BD38" s="368"/>
      <c r="BE38" s="368"/>
      <c r="BF38" s="368"/>
      <c r="BG38" s="368"/>
      <c r="BH38" s="368"/>
      <c r="BI38" s="418">
        <v>0</v>
      </c>
    </row>
    <row customHeight="1" ht="14.699999999999998">
      <c r="Q39" s="291"/>
      <c r="R39" s="376"/>
      <c r="S39" s="1275"/>
      <c r="T39" s="363"/>
      <c r="U39" s="1244"/>
      <c r="V39" s="2252"/>
      <c r="W39" s="2252"/>
      <c r="X39" s="2252"/>
      <c r="Y39" s="2252"/>
      <c r="Z39" s="2252"/>
      <c r="AA39" s="2252"/>
      <c r="AB39" s="2252"/>
      <c r="AC39" s="2252"/>
      <c r="AD39" s="2252"/>
      <c r="AE39" s="2252"/>
      <c r="AF39" s="2252"/>
      <c r="AG39" s="2252"/>
      <c r="AH39" s="2252"/>
      <c r="AI39" s="2252"/>
      <c r="AJ39" s="2252"/>
      <c r="AK39" s="2252"/>
      <c r="AL39" s="2252"/>
      <c r="AM39" s="2252"/>
      <c r="AN39" s="2252"/>
      <c r="AO39" s="2252"/>
      <c r="AP39" s="2252"/>
      <c r="AQ39" s="2252"/>
      <c r="AR39" s="2252"/>
      <c r="AS39" s="2252"/>
      <c r="AT39" s="2252"/>
      <c r="AU39" s="2252"/>
      <c r="AV39" s="2252"/>
      <c r="AW39" s="2252"/>
      <c r="AX39" s="2252"/>
      <c r="AY39" s="2252"/>
      <c r="AZ39" s="2252"/>
      <c r="BA39" s="2252"/>
      <c r="BI39" s="1155">
        <v>14</v>
      </c>
    </row>
    <row customHeight="1" ht="14.699999999999998">
      <c r="Q40" s="291"/>
      <c r="R40" s="376"/>
      <c r="S40" s="2127" t="s">
        <v>302</v>
      </c>
      <c r="T40" s="2127"/>
      <c r="U40" s="2127"/>
      <c r="V40" s="2127"/>
      <c r="W40" s="2127"/>
      <c r="X40" s="2127"/>
      <c r="Y40" s="2127"/>
      <c r="Z40" s="2127"/>
      <c r="AA40" s="2127"/>
      <c r="AB40" s="2127"/>
      <c r="AC40" s="2127"/>
      <c r="AD40" s="2127"/>
      <c r="AE40" s="2127"/>
      <c r="AF40" s="2127"/>
      <c r="AG40" s="2127"/>
      <c r="AH40" s="2127"/>
      <c r="AI40" s="2127"/>
      <c r="AJ40" s="2127"/>
      <c r="AK40" s="2127"/>
      <c r="AL40" s="2127"/>
      <c r="AM40" s="2127"/>
      <c r="AN40" s="2127"/>
      <c r="AO40" s="2127"/>
      <c r="AP40" s="2127"/>
      <c r="AQ40" s="2127"/>
      <c r="AR40" s="2127"/>
      <c r="AS40" s="2127"/>
      <c r="AT40" s="2127"/>
      <c r="AU40" s="2127"/>
      <c r="AV40" s="2127"/>
      <c r="AW40" s="2127"/>
      <c r="AX40" s="2127"/>
      <c r="AY40" s="2127"/>
      <c r="AZ40" s="2127"/>
      <c r="BA40" s="2127"/>
      <c r="BB40" s="2127"/>
      <c r="BC40" s="2127" t="s">
        <v>303</v>
      </c>
      <c r="BI40" s="1155">
        <v>14</v>
      </c>
    </row>
    <row customHeight="1" ht="14.699999999999998">
      <c r="Q41" s="291"/>
      <c r="R41" s="376"/>
      <c r="S41" s="2273" t="s">
        <v>88</v>
      </c>
      <c r="T41" s="2209" t="s">
        <v>509</v>
      </c>
      <c r="U41" s="301"/>
      <c r="V41" s="2274" t="s">
        <v>431</v>
      </c>
      <c r="W41" s="2275"/>
      <c r="X41" s="2275"/>
      <c r="Y41" s="2275"/>
      <c r="Z41" s="2275"/>
      <c r="AA41" s="2275"/>
      <c r="AB41" s="2276"/>
      <c r="AC41" s="2277" t="s">
        <v>432</v>
      </c>
      <c r="AD41" s="2328" t="s">
        <v>510</v>
      </c>
      <c r="AE41" s="2291"/>
      <c r="AF41" s="2291"/>
      <c r="AG41" s="2329"/>
      <c r="AH41" s="2328" t="s">
        <v>511</v>
      </c>
      <c r="AI41" s="2291"/>
      <c r="AJ41" s="2291"/>
      <c r="AK41" s="2329"/>
      <c r="AL41" s="2328" t="s">
        <v>512</v>
      </c>
      <c r="AM41" s="2291"/>
      <c r="AN41" s="2291"/>
      <c r="AO41" s="2329"/>
      <c r="AP41" s="2328" t="s">
        <v>513</v>
      </c>
      <c r="AQ41" s="2291"/>
      <c r="AR41" s="2291"/>
      <c r="AS41" s="2329"/>
      <c r="AT41" s="2274" t="s">
        <v>431</v>
      </c>
      <c r="AU41" s="2275"/>
      <c r="AV41" s="2275"/>
      <c r="AW41" s="2275"/>
      <c r="AX41" s="2275"/>
      <c r="AY41" s="2275"/>
      <c r="AZ41" s="2276"/>
      <c r="BA41" s="2277" t="s">
        <v>432</v>
      </c>
      <c r="BB41" s="2280" t="s">
        <v>434</v>
      </c>
      <c r="BC41" s="2127"/>
      <c r="BI41" s="1155">
        <v>14</v>
      </c>
    </row>
    <row customHeight="1" ht="35.699999999999996">
      <c r="Q42" s="291"/>
      <c r="R42" s="376"/>
      <c r="S42" s="2273"/>
      <c r="T42" s="2209"/>
      <c r="U42" s="1031"/>
      <c r="V42" s="2192" t="s">
        <v>514</v>
      </c>
      <c r="W42" s="2193"/>
      <c r="X42" s="2192" t="s">
        <v>515</v>
      </c>
      <c r="Y42" s="2193"/>
      <c r="Z42" s="2294" t="s">
        <v>516</v>
      </c>
      <c r="AA42" s="2313"/>
      <c r="AB42" s="2314"/>
      <c r="AC42" s="2278"/>
      <c r="AD42" s="2330"/>
      <c r="AE42" s="2331"/>
      <c r="AF42" s="2331"/>
      <c r="AG42" s="2332"/>
      <c r="AH42" s="2330"/>
      <c r="AI42" s="2331"/>
      <c r="AJ42" s="2331"/>
      <c r="AK42" s="2332"/>
      <c r="AL42" s="2330"/>
      <c r="AM42" s="2331"/>
      <c r="AN42" s="2331"/>
      <c r="AO42" s="2332"/>
      <c r="AP42" s="2330"/>
      <c r="AQ42" s="2331"/>
      <c r="AR42" s="2331"/>
      <c r="AS42" s="2332"/>
      <c r="AT42" s="2192" t="s">
        <v>514</v>
      </c>
      <c r="AU42" s="2193"/>
      <c r="AV42" s="2192" t="s">
        <v>515</v>
      </c>
      <c r="AW42" s="2193"/>
      <c r="AX42" s="2294" t="s">
        <v>516</v>
      </c>
      <c r="AY42" s="2313"/>
      <c r="AZ42" s="2314"/>
      <c r="BA42" s="2278"/>
      <c r="BB42" s="2281"/>
      <c r="BC42" s="2127"/>
      <c r="BI42" s="1155">
        <v>34</v>
      </c>
    </row>
    <row customHeight="1" ht="14.699999999999998">
      <c r="Q43" s="291"/>
      <c r="R43" s="376"/>
      <c r="S43" s="2273"/>
      <c r="T43" s="2209"/>
      <c r="U43" s="1031"/>
      <c r="V43" s="2200"/>
      <c r="W43" s="2201"/>
      <c r="X43" s="2200"/>
      <c r="Y43" s="2201"/>
      <c r="Z43" s="2295"/>
      <c r="AA43" s="2315"/>
      <c r="AB43" s="2316"/>
      <c r="AC43" s="2278"/>
      <c r="AD43" s="2330"/>
      <c r="AE43" s="2331"/>
      <c r="AF43" s="2331"/>
      <c r="AG43" s="2332"/>
      <c r="AH43" s="2330"/>
      <c r="AI43" s="2331"/>
      <c r="AJ43" s="2331"/>
      <c r="AK43" s="2332"/>
      <c r="AL43" s="2330"/>
      <c r="AM43" s="2331"/>
      <c r="AN43" s="2331"/>
      <c r="AO43" s="2332"/>
      <c r="AP43" s="2330"/>
      <c r="AQ43" s="2331"/>
      <c r="AR43" s="2331"/>
      <c r="AS43" s="2332"/>
      <c r="AT43" s="2200"/>
      <c r="AU43" s="2201"/>
      <c r="AV43" s="2200"/>
      <c r="AW43" s="2201"/>
      <c r="AX43" s="2295"/>
      <c r="AY43" s="2315"/>
      <c r="AZ43" s="2316"/>
      <c r="BA43" s="2278"/>
      <c r="BB43" s="2281"/>
      <c r="BC43" s="2127"/>
      <c r="BI43" s="1155">
        <v>14</v>
      </c>
    </row>
    <row customHeight="1" ht="14.699999999999998">
      <c r="A44" s="1370"/>
      <c r="B44" s="1370" t="s">
        <v>139</v>
      </c>
      <c r="C44" s="1370" t="s">
        <v>140</v>
      </c>
      <c r="D44" s="1370" t="s">
        <v>141</v>
      </c>
      <c r="E44" s="1364" t="s">
        <v>439</v>
      </c>
      <c r="F44" s="1364" t="s">
        <v>440</v>
      </c>
      <c r="G44" s="1364" t="s">
        <v>441</v>
      </c>
      <c r="H44" s="1364" t="s">
        <v>442</v>
      </c>
      <c r="I44" s="1364" t="s">
        <v>443</v>
      </c>
      <c r="J44" s="1364" t="s">
        <v>444</v>
      </c>
      <c r="K44" s="1364" t="s">
        <v>445</v>
      </c>
      <c r="L44" s="1364" t="s">
        <v>420</v>
      </c>
      <c r="Q44" s="291"/>
      <c r="R44" s="376"/>
      <c r="S44" s="2273"/>
      <c r="T44" s="2209"/>
      <c r="U44" s="302"/>
      <c r="V44" s="1479" t="s">
        <v>480</v>
      </c>
      <c r="W44" s="1479" t="s">
        <v>481</v>
      </c>
      <c r="X44" s="1479" t="s">
        <v>480</v>
      </c>
      <c r="Y44" s="1479" t="s">
        <v>481</v>
      </c>
      <c r="Z44" s="1489" t="s">
        <v>448</v>
      </c>
      <c r="AA44" s="2270" t="s">
        <v>449</v>
      </c>
      <c r="AB44" s="2271"/>
      <c r="AC44" s="2279"/>
      <c r="AD44" s="2333"/>
      <c r="AE44" s="2334"/>
      <c r="AF44" s="2334"/>
      <c r="AG44" s="2335"/>
      <c r="AH44" s="2333"/>
      <c r="AI44" s="2334"/>
      <c r="AJ44" s="2334"/>
      <c r="AK44" s="2335"/>
      <c r="AL44" s="2333"/>
      <c r="AM44" s="2334"/>
      <c r="AN44" s="2334"/>
      <c r="AO44" s="2335"/>
      <c r="AP44" s="2333"/>
      <c r="AQ44" s="2334"/>
      <c r="AR44" s="2334"/>
      <c r="AS44" s="2335"/>
      <c r="AT44" s="1479" t="s">
        <v>480</v>
      </c>
      <c r="AU44" s="1479" t="s">
        <v>481</v>
      </c>
      <c r="AV44" s="1479" t="s">
        <v>480</v>
      </c>
      <c r="AW44" s="1479" t="s">
        <v>481</v>
      </c>
      <c r="AX44" s="1489" t="s">
        <v>448</v>
      </c>
      <c r="AY44" s="2270" t="s">
        <v>449</v>
      </c>
      <c r="AZ44" s="2271"/>
      <c r="BA44" s="2279"/>
      <c r="BB44" s="2282"/>
      <c r="BC44" s="2127"/>
      <c r="BI44" s="1155">
        <v>14</v>
      </c>
    </row>
    <row s="1641" customFormat="1" customHeight="1" ht="0">
      <c r="A45" s="1370"/>
      <c r="B45" s="1370"/>
      <c r="C45" s="1370"/>
      <c r="D45" s="1370"/>
      <c r="E45" s="1370"/>
      <c r="F45" s="1370"/>
      <c r="G45" s="1370"/>
      <c r="H45" s="1370"/>
      <c r="I45" s="1370"/>
      <c r="J45" s="1370"/>
      <c r="K45" s="1370"/>
      <c r="L45" s="1364"/>
      <c r="M45" s="1362"/>
      <c r="N45" s="1362"/>
      <c r="O45" s="1362"/>
      <c r="P45" s="510"/>
      <c r="Q45" s="1254"/>
      <c r="R45" s="1254">
        <v>1</v>
      </c>
      <c r="S45" s="1277" t="s">
        <v>109</v>
      </c>
      <c r="T45" s="1255" t="s">
        <v>110</v>
      </c>
      <c r="U45" s="1245" t="str">
        <f>OFFSET(U45,0,-1)</f>
        <v>2</v>
      </c>
      <c r="V45" s="1482">
        <f>OFFSET(V45,0,-1)+1</f>
        <v>3</v>
      </c>
      <c r="W45" s="1482">
        <f>OFFSET(W45,0,-1)+1</f>
        <v>4</v>
      </c>
      <c r="X45" s="1482">
        <f>OFFSET(X45,0,-1)+1</f>
        <v>5</v>
      </c>
      <c r="Y45" s="1482">
        <f>OFFSET(Y45,0,-1)+1</f>
        <v>6</v>
      </c>
      <c r="Z45" s="1482">
        <f>OFFSET(Z45,0,-1)+1</f>
        <v>7</v>
      </c>
      <c r="AA45" s="2272">
        <f>OFFSET(AA45,0,-1)+1</f>
        <v>8</v>
      </c>
      <c r="AB45" s="2272"/>
      <c r="AC45" s="1482">
        <f>OFFSET(AC45,0,-2)+1</f>
        <v>9</v>
      </c>
      <c r="AD45" s="1482">
        <f>OFFSET(AD45,0,-1)+1</f>
        <v>10</v>
      </c>
      <c r="AE45" s="1482"/>
      <c r="AF45" s="1482"/>
      <c r="AG45" s="1482"/>
      <c r="AH45" s="1482"/>
      <c r="AI45" s="1482"/>
      <c r="AJ45" s="1482"/>
      <c r="AK45" s="1482"/>
      <c r="AL45" s="1482"/>
      <c r="AM45" s="1482"/>
      <c r="AN45" s="1482"/>
      <c r="AO45" s="1482"/>
      <c r="AP45" s="1482"/>
      <c r="AQ45" s="1482"/>
      <c r="AR45" s="1482"/>
      <c r="AS45" s="1482"/>
      <c r="AT45" s="1482"/>
      <c r="AU45" s="1482"/>
      <c r="AV45" s="1482"/>
      <c r="AW45" s="1482">
        <f>OFFSET(AW45,0,-1)+1</f>
        <v>1</v>
      </c>
      <c r="AX45" s="1482">
        <f>OFFSET(AX45,0,-1)+1</f>
        <v>2</v>
      </c>
      <c r="AY45" s="2272">
        <f>OFFSET(AY45,0,-1)+1</f>
        <v>3</v>
      </c>
      <c r="AZ45" s="2272"/>
      <c r="BA45" s="1482">
        <f>OFFSET(BA45,0,-2)+1</f>
        <v>4</v>
      </c>
      <c r="BB45" s="1245">
        <f>OFFSET(BB45,0,-1)</f>
        <v>4</v>
      </c>
      <c r="BC45" s="1482">
        <f>OFFSET(BC45,0,-1)+1</f>
        <v>5</v>
      </c>
      <c r="BD45" s="511"/>
      <c r="BE45" s="511"/>
      <c r="BF45" s="511"/>
      <c r="BG45" s="511"/>
      <c r="BH45" s="511"/>
      <c r="BI45" s="496">
        <v>0</v>
      </c>
    </row>
    <row customHeight="1" ht="22.049999999999997">
      <c r="A46" s="1363" t="s">
        <v>263</v>
      </c>
      <c r="B46" s="1363"/>
      <c r="C46" s="1363"/>
      <c r="D46" s="1363"/>
      <c r="E46" s="2258">
        <v>1</v>
      </c>
      <c r="F46" s="1363"/>
      <c r="G46" s="1363"/>
      <c r="H46" s="1363"/>
      <c r="I46" s="1363"/>
      <c r="J46" s="1363"/>
      <c r="K46" s="1363"/>
      <c r="L46" s="1364"/>
      <c r="M46" s="1365"/>
      <c r="N46" s="1365"/>
      <c r="O46" s="1365"/>
      <c r="P46" s="1409"/>
      <c r="Q46" s="873"/>
      <c r="R46" s="355"/>
      <c r="S46" s="1493">
        <f>INDEX(PT_DIFFERENTIATION_NUM_NTAR,MATCH(A46,PT_DIFFERENTIATION_NTAR_ID,0))</f>
        <v>0</v>
      </c>
      <c r="T46" s="298" t="s">
        <v>127</v>
      </c>
      <c r="U46" s="300"/>
      <c r="V46" s="2243"/>
      <c r="W46" s="2243"/>
      <c r="X46" s="2243"/>
      <c r="Y46" s="2243"/>
      <c r="Z46" s="2243"/>
      <c r="AA46" s="2243"/>
      <c r="AB46" s="2243"/>
      <c r="AC46" s="2244"/>
      <c r="AD46" s="2242" t="str">
        <f>INDEX(PT_DIFFERENTIATION_NTAR,MATCH(A46,PT_DIFFERENTIATION_NTAR_ID,0))</f>
        <v/>
      </c>
      <c r="AE46" s="2243"/>
      <c r="AF46" s="2243"/>
      <c r="AG46" s="2243"/>
      <c r="AH46" s="2243"/>
      <c r="AI46" s="2243"/>
      <c r="AJ46" s="2243"/>
      <c r="AK46" s="2243"/>
      <c r="AL46" s="2243"/>
      <c r="AM46" s="2243"/>
      <c r="AN46" s="2243"/>
      <c r="AO46" s="2243"/>
      <c r="AP46" s="2243"/>
      <c r="AQ46" s="2243"/>
      <c r="AR46" s="2243"/>
      <c r="AS46" s="2243"/>
      <c r="AT46" s="2243"/>
      <c r="AU46" s="2243"/>
      <c r="AV46" s="2243"/>
      <c r="AW46" s="2243"/>
      <c r="AX46" s="2243"/>
      <c r="AY46" s="2243"/>
      <c r="AZ46" s="2243"/>
      <c r="BA46" s="2243"/>
      <c r="BB46" s="2244"/>
      <c r="BC46"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46" s="500"/>
      <c r="BF46" s="500" t="str">
        <f>IF(T46="","",T46)</f>
        <v>Наименование тарифа</v>
      </c>
      <c r="BG46" s="500"/>
      <c r="BH46" s="500"/>
      <c r="BI46" s="1155">
        <v>21</v>
      </c>
    </row>
    <row customHeight="1" ht="22.049999999999997">
      <c r="A47" s="1363" t="s">
        <v>263</v>
      </c>
      <c r="B47" s="1363" t="s">
        <v>264</v>
      </c>
      <c r="C47" s="1363"/>
      <c r="D47" s="1363"/>
      <c r="E47" s="2259"/>
      <c r="F47" s="2258">
        <v>1</v>
      </c>
      <c r="G47" s="1363"/>
      <c r="H47" s="1363"/>
      <c r="I47" s="1363"/>
      <c r="J47" s="1363"/>
      <c r="K47" s="1363"/>
      <c r="L47" s="1364"/>
      <c r="M47" s="1365"/>
      <c r="N47" s="1365"/>
      <c r="O47" s="1365"/>
      <c r="P47" s="1410"/>
      <c r="Q47" s="1411"/>
      <c r="R47" s="353"/>
      <c r="S47" s="1493" t="str">
        <f>INDEX(PT_DIFFERENTIATION_NUM_TER,MATCH(B47,PT_DIFFERENTIATION_TER_ID,0))</f>
        <v>.</v>
      </c>
      <c r="T47" s="308" t="s">
        <v>399</v>
      </c>
      <c r="U47" s="300"/>
      <c r="V47" s="2243"/>
      <c r="W47" s="2243"/>
      <c r="X47" s="2243"/>
      <c r="Y47" s="2243"/>
      <c r="Z47" s="2243"/>
      <c r="AA47" s="2243"/>
      <c r="AB47" s="2243"/>
      <c r="AC47" s="2244"/>
      <c r="AD47" s="2242" t="str">
        <f>INDEX(PT_DIFFERENTIATION_TER,MATCH(B47,PT_DIFFERENTIATION_TER_ID,0))</f>
        <v/>
      </c>
      <c r="AE47" s="2243"/>
      <c r="AF47" s="2243"/>
      <c r="AG47" s="2243"/>
      <c r="AH47" s="2243"/>
      <c r="AI47" s="2243"/>
      <c r="AJ47" s="2243"/>
      <c r="AK47" s="2243"/>
      <c r="AL47" s="2243"/>
      <c r="AM47" s="2243"/>
      <c r="AN47" s="2243"/>
      <c r="AO47" s="2243"/>
      <c r="AP47" s="2243"/>
      <c r="AQ47" s="2243"/>
      <c r="AR47" s="2243"/>
      <c r="AS47" s="2243"/>
      <c r="AT47" s="2243"/>
      <c r="AU47" s="2243"/>
      <c r="AV47" s="2243"/>
      <c r="AW47" s="2243"/>
      <c r="AX47" s="2243"/>
      <c r="AY47" s="2243"/>
      <c r="AZ47" s="2243"/>
      <c r="BA47" s="2243"/>
      <c r="BB47" s="2244"/>
      <c r="BC47" s="1258" t="s">
        <v>400</v>
      </c>
      <c r="BE47" s="500"/>
      <c r="BF47" s="500" t="str">
        <f>IF(T47="","",T47)</f>
        <v>Территория действия тарифа</v>
      </c>
      <c r="BG47" s="500"/>
      <c r="BH47" s="500"/>
      <c r="BI47" s="1155">
        <v>21</v>
      </c>
    </row>
    <row customHeight="1" ht="35.699999999999996">
      <c r="A48" s="1363" t="s">
        <v>263</v>
      </c>
      <c r="B48" s="1363" t="s">
        <v>264</v>
      </c>
      <c r="C48" s="1363" t="s">
        <v>265</v>
      </c>
      <c r="D48" s="1363"/>
      <c r="E48" s="2259"/>
      <c r="F48" s="2259"/>
      <c r="G48" s="2258">
        <v>1</v>
      </c>
      <c r="H48" s="1363"/>
      <c r="I48" s="1363"/>
      <c r="J48" s="1363"/>
      <c r="K48" s="1363"/>
      <c r="L48" s="1364"/>
      <c r="M48" s="1365"/>
      <c r="N48" s="1365"/>
      <c r="O48" s="1365"/>
      <c r="P48" s="1412"/>
      <c r="Q48" s="1411"/>
      <c r="R48" s="353"/>
      <c r="S48" s="1493" t="str">
        <f>INDEX(PT_DIFFERENTIATION_NUM_CS,MATCH(C48,PT_DIFFERENTIATION_CS_ID,0))</f>
        <v>..</v>
      </c>
      <c r="T48" s="309" t="s">
        <v>532</v>
      </c>
      <c r="U48" s="300"/>
      <c r="V48" s="2243"/>
      <c r="W48" s="2243"/>
      <c r="X48" s="2243"/>
      <c r="Y48" s="2243"/>
      <c r="Z48" s="2243"/>
      <c r="AA48" s="2243"/>
      <c r="AB48" s="2243"/>
      <c r="AC48" s="2244"/>
      <c r="AD48" s="2242" t="str">
        <f>INDEX(PT_DIFFERENTIATION_CS,MATCH(C48,PT_DIFFERENTIATION_CS_ID,0))</f>
        <v/>
      </c>
      <c r="AE48" s="2243"/>
      <c r="AF48" s="2243"/>
      <c r="AG48" s="2243"/>
      <c r="AH48" s="2243"/>
      <c r="AI48" s="2243"/>
      <c r="AJ48" s="2243"/>
      <c r="AK48" s="2243"/>
      <c r="AL48" s="2243"/>
      <c r="AM48" s="2243"/>
      <c r="AN48" s="2243"/>
      <c r="AO48" s="2243"/>
      <c r="AP48" s="2243"/>
      <c r="AQ48" s="2243"/>
      <c r="AR48" s="2243"/>
      <c r="AS48" s="2243"/>
      <c r="AT48" s="2243"/>
      <c r="AU48" s="2243"/>
      <c r="AV48" s="2243"/>
      <c r="AW48" s="2243"/>
      <c r="AX48" s="2243"/>
      <c r="AY48" s="2243"/>
      <c r="AZ48" s="2243"/>
      <c r="BA48" s="2243"/>
      <c r="BB48" s="2244"/>
      <c r="BC48" s="1258" t="s">
        <v>533</v>
      </c>
      <c r="BE48" s="500"/>
      <c r="BF48" s="500" t="str">
        <f>IF(T48="","",T48)</f>
        <v>Наименование централизованной системы горячего водоснабжения</v>
      </c>
      <c r="BG48" s="500"/>
      <c r="BH48" s="500"/>
      <c r="BI48" s="1155">
        <v>34</v>
      </c>
    </row>
    <row s="1642" customFormat="1" customHeight="1" ht="0">
      <c r="A49" s="1343" t="s">
        <v>263</v>
      </c>
      <c r="B49" s="1343" t="s">
        <v>264</v>
      </c>
      <c r="C49" s="1343" t="s">
        <v>265</v>
      </c>
      <c r="D49" s="1343" t="s">
        <v>546</v>
      </c>
      <c r="E49" s="2259"/>
      <c r="F49" s="2259"/>
      <c r="G49" s="2259"/>
      <c r="H49" s="2258">
        <v>1</v>
      </c>
      <c r="I49" s="1343"/>
      <c r="J49" s="1343"/>
      <c r="K49" s="1343"/>
      <c r="L49" s="1346"/>
      <c r="M49" s="1315"/>
      <c r="N49" s="1315"/>
      <c r="O49" s="1315"/>
      <c r="P49" s="1497"/>
      <c r="Q49" s="1498"/>
      <c r="R49" s="357"/>
      <c r="S49" s="1042"/>
      <c r="T49" s="1499"/>
      <c r="U49" s="1384"/>
      <c r="V49" s="2297"/>
      <c r="W49" s="2297"/>
      <c r="X49" s="2297"/>
      <c r="Y49" s="2297"/>
      <c r="Z49" s="2297"/>
      <c r="AA49" s="2297"/>
      <c r="AB49" s="2297"/>
      <c r="AC49" s="2298"/>
      <c r="AD49" s="2296"/>
      <c r="AE49" s="2297"/>
      <c r="AF49" s="2297"/>
      <c r="AG49" s="2297"/>
      <c r="AH49" s="2297"/>
      <c r="AI49" s="2297"/>
      <c r="AJ49" s="2297"/>
      <c r="AK49" s="2297"/>
      <c r="AL49" s="2297"/>
      <c r="AM49" s="2297"/>
      <c r="AN49" s="2297"/>
      <c r="AO49" s="2297"/>
      <c r="AP49" s="2297"/>
      <c r="AQ49" s="2297"/>
      <c r="AR49" s="2297"/>
      <c r="AS49" s="2297"/>
      <c r="AT49" s="2297"/>
      <c r="AU49" s="2297"/>
      <c r="AV49" s="2297"/>
      <c r="AW49" s="2297"/>
      <c r="AX49" s="2297"/>
      <c r="AY49" s="2297"/>
      <c r="AZ49" s="2297"/>
      <c r="BA49" s="2297"/>
      <c r="BB49" s="2298"/>
      <c r="BC49" s="1385" t="s">
        <v>404</v>
      </c>
      <c r="BE49" s="500"/>
      <c r="BF49" s="500" t="str">
        <f>IF(T49="","",T49)</f>
        <v/>
      </c>
      <c r="BG49" s="500"/>
      <c r="BH49" s="500"/>
      <c r="BI49" s="511">
        <v>0</v>
      </c>
    </row>
    <row s="1642" customFormat="1" customHeight="1" ht="0">
      <c r="A50" s="1343" t="s">
        <v>263</v>
      </c>
      <c r="B50" s="1343" t="s">
        <v>264</v>
      </c>
      <c r="C50" s="1343" t="s">
        <v>265</v>
      </c>
      <c r="D50" s="1343" t="s">
        <v>546</v>
      </c>
      <c r="E50" s="2259"/>
      <c r="F50" s="2259"/>
      <c r="G50" s="2259"/>
      <c r="H50" s="2259"/>
      <c r="I50" s="2256" t="str">
        <f>S49&amp;".1"</f>
        <v>.1</v>
      </c>
      <c r="J50" s="1343"/>
      <c r="K50" s="1343"/>
      <c r="L50" s="1346" t="s">
        <v>405</v>
      </c>
      <c r="M50" s="510"/>
      <c r="N50" s="510"/>
      <c r="O50" s="510"/>
      <c r="P50" s="2257">
        <v>1</v>
      </c>
      <c r="Q50" s="1481"/>
      <c r="R50" s="356"/>
      <c r="S50" s="1042"/>
      <c r="T50" s="1383"/>
      <c r="U50" s="1384"/>
      <c r="V50" s="2297"/>
      <c r="W50" s="2297"/>
      <c r="X50" s="2297"/>
      <c r="Y50" s="2297"/>
      <c r="Z50" s="2297"/>
      <c r="AA50" s="2297"/>
      <c r="AB50" s="2297"/>
      <c r="AC50" s="2298"/>
      <c r="AD50" s="2296"/>
      <c r="AE50" s="2297"/>
      <c r="AF50" s="2297"/>
      <c r="AG50" s="2297"/>
      <c r="AH50" s="2297"/>
      <c r="AI50" s="2297"/>
      <c r="AJ50" s="2297"/>
      <c r="AK50" s="2297"/>
      <c r="AL50" s="2297"/>
      <c r="AM50" s="2297"/>
      <c r="AN50" s="2297"/>
      <c r="AO50" s="2297"/>
      <c r="AP50" s="2297"/>
      <c r="AQ50" s="2297"/>
      <c r="AR50" s="2297"/>
      <c r="AS50" s="2297"/>
      <c r="AT50" s="2297"/>
      <c r="AU50" s="2297"/>
      <c r="AV50" s="2297"/>
      <c r="AW50" s="2297"/>
      <c r="AX50" s="2297"/>
      <c r="AY50" s="2297"/>
      <c r="AZ50" s="2297"/>
      <c r="BA50" s="2297"/>
      <c r="BB50" s="2298"/>
      <c r="BC50" s="1385"/>
      <c r="BE50" s="500"/>
      <c r="BF50" s="500" t="str">
        <f>IF(T50="","",T50)</f>
        <v/>
      </c>
      <c r="BG50" s="500"/>
      <c r="BH50" s="500"/>
      <c r="BI50" s="511">
        <v>0</v>
      </c>
    </row>
    <row s="1642" customFormat="1" customHeight="1" ht="0">
      <c r="A51" s="1343" t="s">
        <v>263</v>
      </c>
      <c r="B51" s="1343" t="s">
        <v>264</v>
      </c>
      <c r="C51" s="1343" t="s">
        <v>265</v>
      </c>
      <c r="D51" s="1343" t="s">
        <v>546</v>
      </c>
      <c r="E51" s="2259"/>
      <c r="F51" s="2259"/>
      <c r="G51" s="2259"/>
      <c r="H51" s="2259"/>
      <c r="I51" s="2286"/>
      <c r="J51" s="2256" t="str">
        <f>S49&amp;".1"</f>
        <v>.1</v>
      </c>
      <c r="K51" s="1343"/>
      <c r="L51" s="1346"/>
      <c r="M51" s="510"/>
      <c r="N51" s="510"/>
      <c r="O51" s="510"/>
      <c r="P51" s="2257"/>
      <c r="Q51" s="2257">
        <v>1</v>
      </c>
      <c r="R51" s="357"/>
      <c r="S51" s="1042"/>
      <c r="T51" s="1399"/>
      <c r="U51" s="1384"/>
      <c r="V51" s="2297"/>
      <c r="W51" s="2297"/>
      <c r="X51" s="2297"/>
      <c r="Y51" s="2297"/>
      <c r="Z51" s="2297"/>
      <c r="AA51" s="2297"/>
      <c r="AB51" s="2297"/>
      <c r="AC51" s="2298"/>
      <c r="AD51" s="2296"/>
      <c r="AE51" s="2297"/>
      <c r="AF51" s="2297"/>
      <c r="AG51" s="2297"/>
      <c r="AH51" s="2297"/>
      <c r="AI51" s="2297"/>
      <c r="AJ51" s="2297"/>
      <c r="AK51" s="2297"/>
      <c r="AL51" s="2297"/>
      <c r="AM51" s="2297"/>
      <c r="AN51" s="2364"/>
      <c r="AO51" s="2364"/>
      <c r="AP51" s="2297"/>
      <c r="AQ51" s="2297"/>
      <c r="AR51" s="2297"/>
      <c r="AS51" s="2297"/>
      <c r="AT51" s="2297"/>
      <c r="AU51" s="2297"/>
      <c r="AV51" s="2297"/>
      <c r="AW51" s="2297"/>
      <c r="AX51" s="2297"/>
      <c r="AY51" s="2297"/>
      <c r="AZ51" s="2297"/>
      <c r="BA51" s="2297"/>
      <c r="BB51" s="2298"/>
      <c r="BC51" s="1385"/>
      <c r="BE51" s="500"/>
      <c r="BF51" s="500" t="str">
        <f>IF(T51="","",T51)</f>
        <v/>
      </c>
      <c r="BG51" s="500"/>
      <c r="BH51" s="500"/>
      <c r="BI51" s="511">
        <v>0</v>
      </c>
    </row>
    <row customHeight="1" ht="11.549999999999999">
      <c r="A52" s="1363" t="s">
        <v>263</v>
      </c>
      <c r="B52" s="1363" t="s">
        <v>264</v>
      </c>
      <c r="C52" s="1363" t="s">
        <v>265</v>
      </c>
      <c r="D52" s="1363" t="s">
        <v>546</v>
      </c>
      <c r="E52" s="2259"/>
      <c r="F52" s="2259"/>
      <c r="G52" s="2259"/>
      <c r="H52" s="2259"/>
      <c r="I52" s="2286"/>
      <c r="J52" s="2286"/>
      <c r="K52" s="2256" t="str">
        <f>S48&amp;".1"</f>
        <v>...1</v>
      </c>
      <c r="L52" s="1364"/>
      <c r="P52" s="2257"/>
      <c r="Q52" s="2257"/>
      <c r="R52" s="357">
        <v>1</v>
      </c>
      <c r="S52" s="2341" t="str">
        <f>$K52</f>
        <v>...1</v>
      </c>
      <c r="T52" s="2360"/>
      <c r="U52" s="300"/>
      <c r="V52" s="751"/>
      <c r="W52" s="1257"/>
      <c r="X52" s="751"/>
      <c r="Y52" s="1257"/>
      <c r="Z52" s="1734"/>
      <c r="AA52" s="1469" t="s">
        <v>66</v>
      </c>
      <c r="AB52" s="1734"/>
      <c r="AC52" s="1469" t="s">
        <v>66</v>
      </c>
      <c r="AD52" s="2185" t="s">
        <v>66</v>
      </c>
      <c r="AE52" s="2326"/>
      <c r="AF52" s="2205">
        <v>1</v>
      </c>
      <c r="AG52" s="2363"/>
      <c r="AH52" s="2107" t="s">
        <v>66</v>
      </c>
      <c r="AI52" s="2326"/>
      <c r="AJ52" s="2205">
        <v>1</v>
      </c>
      <c r="AK52" s="2327" t="s">
        <v>22</v>
      </c>
      <c r="AL52" s="2107" t="s">
        <v>66</v>
      </c>
      <c r="AM52" s="2192"/>
      <c r="AN52" s="2205">
        <v>1</v>
      </c>
      <c r="AO52" s="2357"/>
      <c r="AP52" s="2358" t="s">
        <v>66</v>
      </c>
      <c r="AQ52" s="311"/>
      <c r="AR52" s="1486">
        <v>1</v>
      </c>
      <c r="AS52" s="1492" t="s">
        <v>22</v>
      </c>
      <c r="AT52" s="751"/>
      <c r="AU52" s="1257"/>
      <c r="AV52" s="751"/>
      <c r="AW52" s="1257"/>
      <c r="AX52" s="1734"/>
      <c r="AY52" s="1469" t="s">
        <v>66</v>
      </c>
      <c r="AZ52" s="1734"/>
      <c r="BA52" s="1469" t="s">
        <v>66</v>
      </c>
      <c r="BB52" s="1348"/>
      <c r="BC52" s="2253" t="s">
        <v>503</v>
      </c>
      <c r="BE52" s="500"/>
      <c r="BF52" s="500" t="str">
        <f>IF(T52="","",T52)</f>
        <v/>
      </c>
      <c r="BG52" s="500"/>
      <c r="BH52" s="500"/>
      <c r="BI52" s="1155">
        <v>11</v>
      </c>
    </row>
    <row customHeight="1" ht="11.549999999999999">
      <c r="A53" s="1363"/>
      <c r="B53" s="1363"/>
      <c r="C53" s="1363"/>
      <c r="D53" s="1363"/>
      <c r="E53" s="2259"/>
      <c r="F53" s="2259"/>
      <c r="G53" s="2259"/>
      <c r="H53" s="2259"/>
      <c r="I53" s="2286"/>
      <c r="J53" s="2286"/>
      <c r="K53" s="2256"/>
      <c r="L53" s="1364"/>
      <c r="P53" s="2257"/>
      <c r="Q53" s="2257"/>
      <c r="R53" s="357"/>
      <c r="S53" s="2342"/>
      <c r="T53" s="2361"/>
      <c r="U53" s="300"/>
      <c r="V53" s="1393"/>
      <c r="W53" s="1496"/>
      <c r="X53" s="1393"/>
      <c r="Y53" s="1496"/>
      <c r="Z53" s="1393"/>
      <c r="AA53" s="1393"/>
      <c r="AB53" s="1393"/>
      <c r="AC53" s="1393"/>
      <c r="AD53" s="2186"/>
      <c r="AE53" s="2326"/>
      <c r="AF53" s="2205"/>
      <c r="AG53" s="2363"/>
      <c r="AH53" s="2107"/>
      <c r="AI53" s="2326"/>
      <c r="AJ53" s="2205"/>
      <c r="AK53" s="2327"/>
      <c r="AL53" s="2107"/>
      <c r="AM53" s="2200"/>
      <c r="AN53" s="2205"/>
      <c r="AO53" s="2357"/>
      <c r="AP53" s="2359"/>
      <c r="AQ53" s="316"/>
      <c r="AR53" s="416"/>
      <c r="AS53" s="416" t="s">
        <v>504</v>
      </c>
      <c r="AT53" s="1393"/>
      <c r="AU53" s="1496"/>
      <c r="AV53" s="1393"/>
      <c r="AW53" s="1496"/>
      <c r="AX53" s="1393"/>
      <c r="AY53" s="1393"/>
      <c r="AZ53" s="1393"/>
      <c r="BA53" s="1393"/>
      <c r="BB53" s="1397"/>
      <c r="BC53" s="2254"/>
      <c r="BE53" s="500"/>
      <c r="BF53" s="500"/>
      <c r="BG53" s="500"/>
      <c r="BH53" s="500"/>
      <c r="BI53" s="1155">
        <v>11</v>
      </c>
    </row>
    <row customHeight="1" ht="11.549999999999999">
      <c r="A54" s="1363" t="s">
        <v>263</v>
      </c>
      <c r="B54" s="1363"/>
      <c r="C54" s="1363"/>
      <c r="D54" s="1363"/>
      <c r="E54" s="2259"/>
      <c r="F54" s="2259"/>
      <c r="G54" s="2259"/>
      <c r="H54" s="2259"/>
      <c r="I54" s="2286"/>
      <c r="J54" s="2286"/>
      <c r="K54" s="2256"/>
      <c r="L54" s="1364"/>
      <c r="P54" s="2257"/>
      <c r="Q54" s="2257"/>
      <c r="R54" s="357"/>
      <c r="S54" s="2342"/>
      <c r="T54" s="2361"/>
      <c r="U54" s="300"/>
      <c r="V54" s="1393"/>
      <c r="W54" s="1496"/>
      <c r="X54" s="1393"/>
      <c r="Y54" s="1496"/>
      <c r="Z54" s="1393"/>
      <c r="AA54" s="1393"/>
      <c r="AB54" s="1393"/>
      <c r="AC54" s="1393"/>
      <c r="AD54" s="2186"/>
      <c r="AE54" s="2326"/>
      <c r="AF54" s="2205"/>
      <c r="AG54" s="2363"/>
      <c r="AH54" s="2107"/>
      <c r="AI54" s="2326"/>
      <c r="AJ54" s="2205"/>
      <c r="AK54" s="2327"/>
      <c r="AL54" s="2107"/>
      <c r="AM54" s="316"/>
      <c r="AN54" s="1500"/>
      <c r="AO54" s="1500" t="s">
        <v>505</v>
      </c>
      <c r="AP54" s="416"/>
      <c r="AQ54" s="416"/>
      <c r="AR54" s="416"/>
      <c r="AS54" s="1393"/>
      <c r="AT54" s="1393"/>
      <c r="AU54" s="1496"/>
      <c r="AV54" s="1393"/>
      <c r="AW54" s="1496"/>
      <c r="AX54" s="1393"/>
      <c r="AY54" s="1393"/>
      <c r="AZ54" s="1393"/>
      <c r="BA54" s="1393"/>
      <c r="BB54" s="1397"/>
      <c r="BC54" s="2254"/>
      <c r="BE54" s="500"/>
      <c r="BF54" s="500"/>
      <c r="BG54" s="500"/>
      <c r="BH54" s="500"/>
      <c r="BI54" s="1155">
        <v>11</v>
      </c>
    </row>
    <row customHeight="1" ht="11.549999999999999">
      <c r="A55" s="1363" t="s">
        <v>263</v>
      </c>
      <c r="B55" s="1363"/>
      <c r="C55" s="1363"/>
      <c r="D55" s="1363"/>
      <c r="E55" s="2259"/>
      <c r="F55" s="2259"/>
      <c r="G55" s="2259"/>
      <c r="H55" s="2259"/>
      <c r="I55" s="2286"/>
      <c r="J55" s="2286"/>
      <c r="K55" s="2256"/>
      <c r="L55" s="1364"/>
      <c r="P55" s="2257"/>
      <c r="Q55" s="2257"/>
      <c r="R55" s="357"/>
      <c r="S55" s="2342"/>
      <c r="T55" s="2361"/>
      <c r="U55" s="300"/>
      <c r="V55" s="1393"/>
      <c r="W55" s="1496"/>
      <c r="X55" s="1393"/>
      <c r="Y55" s="1496"/>
      <c r="Z55" s="1393"/>
      <c r="AA55" s="1393"/>
      <c r="AB55" s="1393"/>
      <c r="AC55" s="1393"/>
      <c r="AD55" s="2186"/>
      <c r="AE55" s="2326"/>
      <c r="AF55" s="2205"/>
      <c r="AG55" s="2363"/>
      <c r="AH55" s="2107"/>
      <c r="AI55" s="294"/>
      <c r="AJ55" s="415"/>
      <c r="AK55" s="313" t="s">
        <v>506</v>
      </c>
      <c r="AL55" s="1393"/>
      <c r="AM55" s="1393"/>
      <c r="AN55" s="1393"/>
      <c r="AO55" s="1393"/>
      <c r="AP55" s="1393"/>
      <c r="AQ55" s="1393"/>
      <c r="AR55" s="1393"/>
      <c r="AS55" s="1393"/>
      <c r="AT55" s="1393"/>
      <c r="AU55" s="1496"/>
      <c r="AV55" s="1393"/>
      <c r="AW55" s="1496"/>
      <c r="AX55" s="1393"/>
      <c r="AY55" s="1393"/>
      <c r="AZ55" s="1393"/>
      <c r="BA55" s="1393"/>
      <c r="BB55" s="1397"/>
      <c r="BC55" s="2254"/>
      <c r="BE55" s="500"/>
      <c r="BF55" s="500"/>
      <c r="BG55" s="500"/>
      <c r="BH55" s="500"/>
      <c r="BI55" s="1155">
        <v>11</v>
      </c>
    </row>
    <row customHeight="1" ht="11.549999999999999">
      <c r="A56" s="1363" t="s">
        <v>263</v>
      </c>
      <c r="B56" s="1363" t="s">
        <v>264</v>
      </c>
      <c r="C56" s="1363" t="s">
        <v>265</v>
      </c>
      <c r="D56" s="1363" t="s">
        <v>546</v>
      </c>
      <c r="E56" s="2259"/>
      <c r="F56" s="2259"/>
      <c r="G56" s="2259"/>
      <c r="H56" s="2259"/>
      <c r="I56" s="2286"/>
      <c r="J56" s="2286"/>
      <c r="K56" s="2256"/>
      <c r="L56" s="1364"/>
      <c r="P56" s="2257"/>
      <c r="Q56" s="2257"/>
      <c r="R56" s="357"/>
      <c r="S56" s="2343"/>
      <c r="T56" s="2362"/>
      <c r="U56" s="300"/>
      <c r="V56" s="1393"/>
      <c r="W56" s="1394" t="str">
        <f>Z52&amp;"-"&amp;AB52</f>
        <v>-</v>
      </c>
      <c r="X56" s="1393"/>
      <c r="Y56" s="1394" t="str">
        <f>AB52&amp;"-"&amp;AD52</f>
        <v>-да</v>
      </c>
      <c r="Z56" s="1393"/>
      <c r="AA56" s="1393"/>
      <c r="AB56" s="1393"/>
      <c r="AC56" s="1393"/>
      <c r="AD56" s="2112"/>
      <c r="AE56" s="312"/>
      <c r="AF56" s="314"/>
      <c r="AG56" s="416" t="s">
        <v>507</v>
      </c>
      <c r="AH56" s="1393"/>
      <c r="AI56" s="1393"/>
      <c r="AJ56" s="1393"/>
      <c r="AK56" s="1393"/>
      <c r="AL56" s="1393"/>
      <c r="AM56" s="1393"/>
      <c r="AN56" s="1393"/>
      <c r="AO56" s="1393"/>
      <c r="AP56" s="1393"/>
      <c r="AQ56" s="1393"/>
      <c r="AR56" s="1393"/>
      <c r="AS56" s="1393"/>
      <c r="AT56" s="1393"/>
      <c r="AU56" s="1394" t="str">
        <f>AX52&amp;"-"&amp;AZ52</f>
        <v>-</v>
      </c>
      <c r="AV56" s="1393"/>
      <c r="AW56" s="1394" t="str">
        <f>AZ52&amp;"-"&amp;BB52</f>
        <v>-</v>
      </c>
      <c r="AX56" s="1393"/>
      <c r="AY56" s="1393"/>
      <c r="AZ56" s="1393"/>
      <c r="BA56" s="1393"/>
      <c r="BB56" s="1396" t="str">
        <f>BE52&amp;"-"&amp;BG52</f>
        <v>-</v>
      </c>
      <c r="BC56" s="2254"/>
      <c r="BE56" s="500"/>
      <c r="BF56" s="500" t="str">
        <f>IF(T56="","",T56)</f>
        <v/>
      </c>
      <c r="BG56" s="500"/>
      <c r="BH56" s="500"/>
      <c r="BI56" s="1155">
        <v>11</v>
      </c>
    </row>
    <row customHeight="1" ht="11.549999999999999">
      <c r="A57" s="1363" t="s">
        <v>263</v>
      </c>
      <c r="B57" s="1363" t="s">
        <v>264</v>
      </c>
      <c r="C57" s="1363" t="s">
        <v>265</v>
      </c>
      <c r="D57" s="1363" t="s">
        <v>546</v>
      </c>
      <c r="E57" s="2259"/>
      <c r="F57" s="2259"/>
      <c r="G57" s="2259"/>
      <c r="H57" s="2259"/>
      <c r="I57" s="2286"/>
      <c r="J57" s="2256"/>
      <c r="K57" s="1363"/>
      <c r="L57" s="1364"/>
      <c r="P57" s="2257"/>
      <c r="Q57" s="2257"/>
      <c r="R57" s="356"/>
      <c r="S57" s="1278"/>
      <c r="T57" s="287" t="s">
        <v>470</v>
      </c>
      <c r="U57" s="367"/>
      <c r="V57" s="367"/>
      <c r="W57" s="367"/>
      <c r="X57" s="367"/>
      <c r="Y57" s="367"/>
      <c r="Z57" s="367"/>
      <c r="AA57" s="367"/>
      <c r="AB57" s="367"/>
      <c r="AC57" s="324"/>
      <c r="AD57" s="1505"/>
      <c r="AE57" s="367"/>
      <c r="AF57" s="367"/>
      <c r="AG57" s="367"/>
      <c r="AH57" s="367"/>
      <c r="AI57" s="367"/>
      <c r="AJ57" s="367"/>
      <c r="AK57" s="367"/>
      <c r="AL57" s="367"/>
      <c r="AM57" s="367"/>
      <c r="AN57" s="367"/>
      <c r="AO57" s="367"/>
      <c r="AP57" s="367"/>
      <c r="AQ57" s="367"/>
      <c r="AR57" s="367"/>
      <c r="AS57" s="367"/>
      <c r="AT57" s="367"/>
      <c r="AU57" s="367"/>
      <c r="AV57" s="367"/>
      <c r="AW57" s="367"/>
      <c r="AX57" s="367"/>
      <c r="AY57" s="367"/>
      <c r="AZ57" s="367"/>
      <c r="BA57" s="367"/>
      <c r="BB57" s="324"/>
      <c r="BC57" s="2255"/>
      <c r="BE57" s="500"/>
      <c r="BF57" s="500" t="str">
        <f>IF(T57="","",T57)</f>
        <v>Добавить строку</v>
      </c>
      <c r="BG57" s="500"/>
      <c r="BH57" s="500"/>
      <c r="BI57" s="1155">
        <v>11</v>
      </c>
    </row>
    <row s="1642" customFormat="1" customHeight="1" ht="0">
      <c r="A58" s="1343" t="s">
        <v>263</v>
      </c>
      <c r="B58" s="1343" t="s">
        <v>264</v>
      </c>
      <c r="C58" s="1343" t="s">
        <v>265</v>
      </c>
      <c r="D58" s="1343" t="s">
        <v>546</v>
      </c>
      <c r="E58" s="2259"/>
      <c r="F58" s="2259"/>
      <c r="G58" s="2259"/>
      <c r="H58" s="2259"/>
      <c r="I58" s="2256"/>
      <c r="J58" s="1343"/>
      <c r="K58" s="1343"/>
      <c r="L58" s="1346"/>
      <c r="M58" s="510"/>
      <c r="N58" s="510"/>
      <c r="O58" s="510"/>
      <c r="P58" s="2257"/>
      <c r="Q58" s="1481"/>
      <c r="R58" s="356"/>
      <c r="S58" s="1386"/>
      <c r="T58" s="1387"/>
      <c r="U58" s="1388"/>
      <c r="V58" s="1388"/>
      <c r="W58" s="1388"/>
      <c r="X58" s="1388"/>
      <c r="Y58" s="1388"/>
      <c r="Z58" s="1388"/>
      <c r="AA58" s="1388"/>
      <c r="AB58" s="1388"/>
      <c r="AC58" s="1388"/>
      <c r="AD58" s="1388"/>
      <c r="AE58" s="1388"/>
      <c r="AF58" s="1388"/>
      <c r="AG58" s="1388"/>
      <c r="AH58" s="1388"/>
      <c r="AI58" s="1388"/>
      <c r="AJ58" s="1388"/>
      <c r="AK58" s="1388"/>
      <c r="AL58" s="1388"/>
      <c r="AM58" s="1388"/>
      <c r="AN58" s="1388"/>
      <c r="AO58" s="1388"/>
      <c r="AP58" s="1388"/>
      <c r="AQ58" s="1388"/>
      <c r="AR58" s="1388"/>
      <c r="AS58" s="1388"/>
      <c r="AT58" s="1388"/>
      <c r="AU58" s="1388"/>
      <c r="AV58" s="1388"/>
      <c r="AW58" s="1388"/>
      <c r="AX58" s="1388"/>
      <c r="AY58" s="1388"/>
      <c r="AZ58" s="1388"/>
      <c r="BA58" s="1388"/>
      <c r="BB58" s="1388"/>
      <c r="BC58" s="1389"/>
      <c r="BE58" s="500"/>
      <c r="BF58" s="500" t="str">
        <f>IF(T58="","",T58)</f>
        <v/>
      </c>
      <c r="BG58" s="500"/>
      <c r="BH58" s="500"/>
      <c r="BI58" s="511">
        <v>0</v>
      </c>
    </row>
    <row s="1642" customFormat="1" customHeight="1" ht="0">
      <c r="A59" s="1343" t="s">
        <v>263</v>
      </c>
      <c r="B59" s="1343" t="s">
        <v>264</v>
      </c>
      <c r="C59" s="1343" t="s">
        <v>265</v>
      </c>
      <c r="D59" s="1343" t="s">
        <v>546</v>
      </c>
      <c r="E59" s="2259"/>
      <c r="F59" s="2259"/>
      <c r="G59" s="2259"/>
      <c r="H59" s="2258"/>
      <c r="I59" s="1343"/>
      <c r="J59" s="1343"/>
      <c r="K59" s="1343"/>
      <c r="L59" s="1346"/>
      <c r="M59" s="1315"/>
      <c r="N59" s="1315"/>
      <c r="O59" s="518"/>
      <c r="P59" s="380"/>
      <c r="Q59" s="1344"/>
      <c r="R59" s="1401"/>
      <c r="S59" s="1386"/>
      <c r="T59" s="1387"/>
      <c r="U59" s="1388"/>
      <c r="V59" s="1388"/>
      <c r="W59" s="1388"/>
      <c r="X59" s="1388"/>
      <c r="Y59" s="1388"/>
      <c r="Z59" s="1388"/>
      <c r="AA59" s="1388"/>
      <c r="AB59" s="1388"/>
      <c r="AC59" s="1388"/>
      <c r="AD59" s="1388"/>
      <c r="AE59" s="1388"/>
      <c r="AF59" s="1388"/>
      <c r="AG59" s="1388"/>
      <c r="AH59" s="1388"/>
      <c r="AI59" s="1388"/>
      <c r="AJ59" s="1388"/>
      <c r="AK59" s="1388"/>
      <c r="AL59" s="1388"/>
      <c r="AM59" s="1388"/>
      <c r="AN59" s="1388"/>
      <c r="AO59" s="1388"/>
      <c r="AP59" s="1388"/>
      <c r="AQ59" s="1388"/>
      <c r="AR59" s="1388"/>
      <c r="AS59" s="1388"/>
      <c r="AT59" s="1388"/>
      <c r="AU59" s="1388"/>
      <c r="AV59" s="1388"/>
      <c r="AW59" s="1388"/>
      <c r="AX59" s="1388"/>
      <c r="AY59" s="1388"/>
      <c r="AZ59" s="1388"/>
      <c r="BA59" s="1388"/>
      <c r="BB59" s="1388"/>
      <c r="BC59" s="1389"/>
      <c r="BE59" s="500"/>
      <c r="BF59" s="500" t="str">
        <f>IF(T59="","",T59)</f>
        <v/>
      </c>
      <c r="BG59" s="500"/>
      <c r="BH59" s="500"/>
      <c r="BI59" s="511">
        <v>0</v>
      </c>
    </row>
    <row s="1642" customFormat="1" customHeight="1" ht="0">
      <c r="A60" s="1343" t="s">
        <v>263</v>
      </c>
      <c r="B60" s="1343" t="s">
        <v>264</v>
      </c>
      <c r="C60" s="1343" t="s">
        <v>265</v>
      </c>
      <c r="D60" s="1314"/>
      <c r="E60" s="2259"/>
      <c r="F60" s="2259"/>
      <c r="G60" s="2258"/>
      <c r="H60" s="1314"/>
      <c r="I60" s="1314"/>
      <c r="J60" s="1314"/>
      <c r="K60" s="1314"/>
      <c r="L60" s="1494"/>
      <c r="M60" s="1315"/>
      <c r="N60" s="1315"/>
      <c r="P60" s="1316"/>
      <c r="Q60" s="1317"/>
      <c r="R60" s="1316"/>
      <c r="S60" s="1322"/>
      <c r="T60" s="1325"/>
      <c r="U60" s="1324"/>
      <c r="V60" s="1324"/>
      <c r="W60" s="1324"/>
      <c r="X60" s="1324"/>
      <c r="Y60" s="1324"/>
      <c r="Z60" s="1324"/>
      <c r="AA60" s="1324"/>
      <c r="AB60" s="1324"/>
      <c r="AC60" s="1324"/>
      <c r="AD60" s="1324"/>
      <c r="AE60" s="1324"/>
      <c r="AF60" s="1324"/>
      <c r="AG60" s="1324"/>
      <c r="AH60" s="1324"/>
      <c r="AI60" s="1324"/>
      <c r="AJ60" s="1324"/>
      <c r="AK60" s="1324"/>
      <c r="AL60" s="1324"/>
      <c r="AM60" s="1324"/>
      <c r="AN60" s="1324"/>
      <c r="AO60" s="1324"/>
      <c r="AP60" s="1324"/>
      <c r="AQ60" s="1324"/>
      <c r="AR60" s="1324"/>
      <c r="AS60" s="1324"/>
      <c r="AT60" s="1324"/>
      <c r="AU60" s="1324"/>
      <c r="AV60" s="1324"/>
      <c r="AW60" s="1324"/>
      <c r="AX60" s="1324"/>
      <c r="AY60" s="1324"/>
      <c r="AZ60" s="1324"/>
      <c r="BA60" s="1324"/>
      <c r="BB60" s="1324"/>
      <c r="BC60" s="1324"/>
      <c r="BE60" s="789"/>
      <c r="BF60" s="789" t="str">
        <f>IF(T60="","",T60)</f>
        <v/>
      </c>
      <c r="BG60" s="789"/>
      <c r="BH60" s="789"/>
      <c r="BI60" s="518">
        <v>0</v>
      </c>
    </row>
    <row s="1642" customFormat="1" customHeight="1" ht="0">
      <c r="A61" s="1343" t="s">
        <v>263</v>
      </c>
      <c r="B61" s="1343" t="s">
        <v>264</v>
      </c>
      <c r="C61" s="1314"/>
      <c r="D61" s="1314"/>
      <c r="E61" s="2259"/>
      <c r="F61" s="2258"/>
      <c r="G61" s="1314"/>
      <c r="H61" s="1314"/>
      <c r="I61" s="1314"/>
      <c r="J61" s="1314"/>
      <c r="K61" s="1314"/>
      <c r="L61" s="1494"/>
      <c r="M61" s="1321"/>
      <c r="N61" s="1321"/>
      <c r="P61" s="1316"/>
      <c r="Q61" s="1317"/>
      <c r="R61" s="1316"/>
      <c r="S61" s="1322"/>
      <c r="T61" s="1325" t="s">
        <v>417</v>
      </c>
      <c r="U61" s="1324"/>
      <c r="V61" s="1324"/>
      <c r="W61" s="1324"/>
      <c r="X61" s="1324"/>
      <c r="Y61" s="1324"/>
      <c r="Z61" s="1324"/>
      <c r="AA61" s="1324"/>
      <c r="AB61" s="1324"/>
      <c r="AC61" s="1324"/>
      <c r="AD61" s="1324"/>
      <c r="AE61" s="1324"/>
      <c r="AF61" s="1324"/>
      <c r="AG61" s="1324"/>
      <c r="AH61" s="1324"/>
      <c r="AI61" s="1324"/>
      <c r="AJ61" s="1324"/>
      <c r="AK61" s="1324"/>
      <c r="AL61" s="1324"/>
      <c r="AM61" s="1324"/>
      <c r="AN61" s="1324"/>
      <c r="AO61" s="1324"/>
      <c r="AP61" s="1324"/>
      <c r="AQ61" s="1324"/>
      <c r="AR61" s="1324"/>
      <c r="AS61" s="1324"/>
      <c r="AT61" s="1324"/>
      <c r="AU61" s="1324"/>
      <c r="AV61" s="1324"/>
      <c r="AW61" s="1324"/>
      <c r="AX61" s="1324"/>
      <c r="AY61" s="1324"/>
      <c r="AZ61" s="1324"/>
      <c r="BA61" s="1324"/>
      <c r="BB61" s="1324"/>
      <c r="BC61" s="1324"/>
      <c r="BE61" s="789"/>
      <c r="BF61" s="789" t="str">
        <f>IF(T61="","",T61)</f>
        <v>Добавить централизованную систему для дифференциации</v>
      </c>
      <c r="BG61" s="789"/>
      <c r="BH61" s="789"/>
      <c r="BI61" s="518">
        <v>0</v>
      </c>
    </row>
    <row s="1642" customFormat="1" customHeight="1" ht="0">
      <c r="A62" s="1343" t="s">
        <v>263</v>
      </c>
      <c r="B62" s="1343"/>
      <c r="C62" s="1343"/>
      <c r="D62" s="1343"/>
      <c r="E62" s="2258"/>
      <c r="F62" s="1343"/>
      <c r="G62" s="1343"/>
      <c r="H62" s="1343"/>
      <c r="I62" s="1343"/>
      <c r="J62" s="1343"/>
      <c r="K62" s="1343"/>
      <c r="L62" s="1346"/>
      <c r="M62" s="1321"/>
      <c r="N62" s="1321"/>
      <c r="O62" s="518"/>
      <c r="P62" s="380"/>
      <c r="Q62" s="1344"/>
      <c r="R62" s="380"/>
      <c r="S62" s="1322"/>
      <c r="T62" s="1325" t="s">
        <v>418</v>
      </c>
      <c r="U62" s="1324"/>
      <c r="V62" s="1324"/>
      <c r="W62" s="1324"/>
      <c r="X62" s="1324"/>
      <c r="Y62" s="1324"/>
      <c r="Z62" s="1324"/>
      <c r="AA62" s="1324"/>
      <c r="AB62" s="1324"/>
      <c r="AC62" s="1324"/>
      <c r="AD62" s="1324"/>
      <c r="AE62" s="1324"/>
      <c r="AF62" s="1324"/>
      <c r="AG62" s="1324"/>
      <c r="AH62" s="1324"/>
      <c r="AI62" s="1324"/>
      <c r="AJ62" s="1324"/>
      <c r="AK62" s="1324"/>
      <c r="AL62" s="1324"/>
      <c r="AM62" s="1324"/>
      <c r="AN62" s="1324"/>
      <c r="AO62" s="1324"/>
      <c r="AP62" s="1324"/>
      <c r="AQ62" s="1324"/>
      <c r="AR62" s="1324"/>
      <c r="AS62" s="1324"/>
      <c r="AT62" s="1324"/>
      <c r="AU62" s="1324"/>
      <c r="AV62" s="1324"/>
      <c r="AW62" s="1324"/>
      <c r="AX62" s="1324"/>
      <c r="AY62" s="1324"/>
      <c r="AZ62" s="1324"/>
      <c r="BA62" s="1324"/>
      <c r="BB62" s="1324"/>
      <c r="BC62" s="1324"/>
      <c r="BE62" s="500"/>
      <c r="BF62" s="500" t="str">
        <f>IF(T62="","",T62)</f>
        <v>Добавить территорию для дифференциации</v>
      </c>
      <c r="BG62" s="500"/>
      <c r="BH62" s="500"/>
      <c r="BI62" s="511">
        <v>0</v>
      </c>
    </row>
    <row s="1642" customFormat="1" customHeight="1" ht="0">
      <c r="A63" s="1314"/>
      <c r="B63" s="1314"/>
      <c r="C63" s="1314"/>
      <c r="D63" s="1314"/>
      <c r="E63" s="1343"/>
      <c r="F63" s="1314"/>
      <c r="G63" s="1314"/>
      <c r="H63" s="1314"/>
      <c r="I63" s="1314"/>
      <c r="J63" s="1314"/>
      <c r="K63" s="1314"/>
      <c r="L63" s="1494"/>
      <c r="M63" s="1321"/>
      <c r="N63" s="1321"/>
      <c r="P63" s="1316"/>
      <c r="Q63" s="1317"/>
      <c r="R63" s="1316"/>
      <c r="S63" s="1322"/>
      <c r="T63" s="1325" t="s">
        <v>450</v>
      </c>
      <c r="U63" s="1324"/>
      <c r="V63" s="1324"/>
      <c r="W63" s="1324"/>
      <c r="X63" s="1324"/>
      <c r="Y63" s="1324"/>
      <c r="Z63" s="1324"/>
      <c r="AA63" s="1324"/>
      <c r="AB63" s="1324"/>
      <c r="AC63" s="1324"/>
      <c r="AD63" s="1324"/>
      <c r="AE63" s="1324"/>
      <c r="AF63" s="1324"/>
      <c r="AG63" s="1324"/>
      <c r="AH63" s="1324"/>
      <c r="AI63" s="1324"/>
      <c r="AJ63" s="1324"/>
      <c r="AK63" s="1324"/>
      <c r="AL63" s="1324"/>
      <c r="AM63" s="1324"/>
      <c r="AN63" s="1324"/>
      <c r="AO63" s="1324"/>
      <c r="AP63" s="1324"/>
      <c r="AQ63" s="1324"/>
      <c r="AR63" s="1324"/>
      <c r="AS63" s="1324"/>
      <c r="AT63" s="1324"/>
      <c r="AU63" s="1324"/>
      <c r="AV63" s="1324"/>
      <c r="AW63" s="1324"/>
      <c r="AX63" s="1324"/>
      <c r="AY63" s="1324"/>
      <c r="AZ63" s="1324"/>
      <c r="BA63" s="1324"/>
      <c r="BB63" s="1324"/>
      <c r="BC63" s="1324"/>
      <c r="BE63" s="789"/>
      <c r="BF63" s="789" t="str">
        <f>IF(T63="","",T63)</f>
        <v>Добавить наименование тарифа</v>
      </c>
      <c r="BG63" s="789"/>
      <c r="BH63" s="789"/>
      <c r="BI63" s="518">
        <v>0</v>
      </c>
    </row>
    <row customHeight="1" ht="11.549999999999999">
      <c r="M64" s="1160"/>
      <c r="N64" s="1160"/>
      <c r="O64" s="537"/>
      <c r="P64" s="1160"/>
      <c r="Q64" s="1160"/>
      <c r="R64" s="1155"/>
      <c r="S64" s="1155"/>
      <c r="BD64" s="1155"/>
      <c r="BE64" s="1155"/>
      <c r="BF64" s="1155"/>
      <c r="BG64" s="1155"/>
      <c r="BH64" s="1155"/>
      <c r="BI64" s="1155">
        <v>11</v>
      </c>
    </row>
    <row customHeight="1" ht="19.95">
      <c r="O65" s="537"/>
      <c r="S65" s="1253"/>
      <c r="T65" s="2285"/>
      <c r="U65" s="2285"/>
      <c r="V65" s="2285"/>
      <c r="W65" s="2285"/>
      <c r="X65" s="2285"/>
      <c r="Y65" s="2285"/>
      <c r="Z65" s="2285"/>
      <c r="AA65" s="2285"/>
      <c r="AB65" s="2285"/>
      <c r="AC65" s="2285"/>
      <c r="AD65" s="2285"/>
      <c r="AE65" s="2285"/>
      <c r="AF65" s="2285"/>
      <c r="AG65" s="2285"/>
      <c r="AH65" s="2285"/>
      <c r="AI65" s="2285"/>
      <c r="AJ65" s="2285"/>
      <c r="AK65" s="2285"/>
      <c r="AL65" s="2285"/>
      <c r="AM65" s="2285"/>
      <c r="AN65" s="2285"/>
      <c r="AO65" s="2285"/>
      <c r="AP65" s="2285"/>
      <c r="AQ65" s="2285"/>
      <c r="AR65" s="2285"/>
      <c r="AS65" s="2285"/>
      <c r="AT65" s="2285"/>
      <c r="AU65" s="2285"/>
      <c r="AV65" s="2285"/>
      <c r="AW65" s="2285"/>
      <c r="AX65" s="2285"/>
      <c r="AY65" s="2285"/>
      <c r="AZ65" s="2285"/>
      <c r="BA65" s="2285"/>
      <c r="BB65" s="2285"/>
      <c r="BC65" s="2285"/>
      <c r="BI65" s="1155">
        <v>19</v>
      </c>
    </row>
    <row customHeight="1" ht="14.699999999999998">
      <c r="O66" s="537"/>
      <c r="T66" s="1480"/>
      <c r="U66" s="1480"/>
      <c r="V66" s="1480"/>
      <c r="W66" s="1480"/>
      <c r="X66" s="1480"/>
      <c r="Y66" s="1480"/>
      <c r="Z66" s="1480"/>
      <c r="AA66" s="1480"/>
      <c r="AB66" s="1480"/>
      <c r="AC66" s="1480"/>
      <c r="AD66" s="1480"/>
      <c r="AE66" s="1480"/>
      <c r="AF66" s="1480"/>
      <c r="AG66" s="1480"/>
      <c r="AH66" s="1480"/>
      <c r="AI66" s="1480"/>
      <c r="AJ66" s="1480"/>
      <c r="AK66" s="1480"/>
      <c r="AL66" s="1480"/>
      <c r="AM66" s="1480"/>
      <c r="AN66" s="1480"/>
      <c r="AO66" s="1480"/>
      <c r="AP66" s="1480"/>
      <c r="AQ66" s="1480"/>
      <c r="AR66" s="1480"/>
      <c r="AS66" s="1480"/>
      <c r="AT66" s="1480"/>
      <c r="AU66" s="1480"/>
      <c r="AV66" s="1480"/>
      <c r="AW66" s="1480"/>
      <c r="AX66" s="1480"/>
      <c r="AY66" s="1480"/>
      <c r="AZ66" s="1480"/>
      <c r="BA66" s="1480"/>
      <c r="BB66" s="1480"/>
      <c r="BC66" s="1480"/>
      <c r="BI66" s="1155">
        <v>14</v>
      </c>
    </row>
    <row customHeight="1" ht="19.95">
      <c r="O67" s="537"/>
      <c r="S67" s="1253"/>
      <c r="T67" s="2285"/>
      <c r="U67" s="2285"/>
      <c r="V67" s="2285"/>
      <c r="W67" s="2285"/>
      <c r="X67" s="2285"/>
      <c r="Y67" s="2285"/>
      <c r="Z67" s="2285"/>
      <c r="AA67" s="2285"/>
      <c r="AB67" s="2285"/>
      <c r="AC67" s="2285"/>
      <c r="AD67" s="2285"/>
      <c r="AE67" s="2285"/>
      <c r="AF67" s="2285"/>
      <c r="AG67" s="2285"/>
      <c r="AH67" s="2285"/>
      <c r="AI67" s="2285"/>
      <c r="AJ67" s="2285"/>
      <c r="AK67" s="2285"/>
      <c r="AL67" s="2285"/>
      <c r="AM67" s="2285"/>
      <c r="AN67" s="2285"/>
      <c r="AO67" s="2285"/>
      <c r="AP67" s="2285"/>
      <c r="AQ67" s="2285"/>
      <c r="AR67" s="2285"/>
      <c r="AS67" s="2285"/>
      <c r="AT67" s="2285"/>
      <c r="AU67" s="2285"/>
      <c r="AV67" s="2285"/>
      <c r="AW67" s="2285"/>
      <c r="AX67" s="2285"/>
      <c r="AY67" s="2285"/>
      <c r="AZ67" s="2285"/>
      <c r="BA67" s="2285"/>
      <c r="BB67" s="2285"/>
      <c r="BC67" s="2285"/>
      <c r="BI67" s="1155">
        <v>19</v>
      </c>
    </row>
    <row customHeight="1" ht="14.699999999999998">
      <c r="O68" s="537"/>
      <c r="BI68" s="1155">
        <v>14</v>
      </c>
    </row>
    <row customHeight="1" ht="14.25" hidden="1">
      <c r="A69" s="1160" t="s">
        <v>82</v>
      </c>
      <c r="B69" s="1160">
        <v>0</v>
      </c>
      <c r="C69" s="1160">
        <v>0</v>
      </c>
      <c r="D69" s="1160">
        <v>0</v>
      </c>
      <c r="E69" s="1160">
        <v>0</v>
      </c>
      <c r="F69" s="1160">
        <v>0</v>
      </c>
      <c r="G69" s="1160">
        <v>0</v>
      </c>
      <c r="H69" s="1160">
        <v>0</v>
      </c>
      <c r="I69" s="1160">
        <v>0</v>
      </c>
      <c r="J69" s="1160">
        <v>0</v>
      </c>
      <c r="K69" s="1160">
        <v>0</v>
      </c>
      <c r="L69" s="1478">
        <v>0</v>
      </c>
      <c r="M69" s="1362">
        <v>0</v>
      </c>
      <c r="N69" s="1362">
        <v>0</v>
      </c>
      <c r="O69" s="1362">
        <v>0</v>
      </c>
      <c r="P69" s="1362">
        <v>0</v>
      </c>
      <c r="Q69" s="1371">
        <v>0</v>
      </c>
      <c r="R69" s="344">
        <v>3</v>
      </c>
      <c r="S69" s="581">
        <v>12</v>
      </c>
      <c r="T69" s="1155">
        <v>31</v>
      </c>
      <c r="U69" s="1155">
        <v>0</v>
      </c>
      <c r="V69" s="1155">
        <v>0</v>
      </c>
      <c r="W69" s="1155">
        <v>0</v>
      </c>
      <c r="X69" s="1155">
        <v>0</v>
      </c>
      <c r="Y69" s="1155">
        <v>0</v>
      </c>
      <c r="Z69" s="1155">
        <v>0</v>
      </c>
      <c r="AA69" s="1155">
        <v>0</v>
      </c>
      <c r="AB69" s="1155">
        <v>0</v>
      </c>
      <c r="AC69" s="1155">
        <v>0</v>
      </c>
      <c r="AD69" s="1155">
        <v>3</v>
      </c>
      <c r="AE69" s="1155">
        <v>3</v>
      </c>
      <c r="AF69" s="1155">
        <v>3</v>
      </c>
      <c r="AG69" s="1155">
        <v>24</v>
      </c>
      <c r="AH69" s="1155">
        <v>3</v>
      </c>
      <c r="AI69" s="1155">
        <v>3</v>
      </c>
      <c r="AJ69" s="1155">
        <v>3</v>
      </c>
      <c r="AK69" s="1155">
        <v>24</v>
      </c>
      <c r="AL69" s="1155">
        <v>3</v>
      </c>
      <c r="AM69" s="1155">
        <v>3</v>
      </c>
      <c r="AN69" s="1155">
        <v>3</v>
      </c>
      <c r="AO69" s="1155">
        <v>18</v>
      </c>
      <c r="AP69" s="1155">
        <v>3</v>
      </c>
      <c r="AQ69" s="1155">
        <v>3</v>
      </c>
      <c r="AR69" s="1155">
        <v>3</v>
      </c>
      <c r="AS69" s="1155">
        <v>18</v>
      </c>
      <c r="AT69" s="1155">
        <v>21</v>
      </c>
      <c r="AU69" s="1155">
        <v>21</v>
      </c>
      <c r="AV69" s="1155">
        <v>21</v>
      </c>
      <c r="AW69" s="1155">
        <v>21</v>
      </c>
      <c r="AX69" s="1155">
        <v>11</v>
      </c>
      <c r="AY69" s="1155">
        <v>3</v>
      </c>
      <c r="AZ69" s="1155">
        <v>11</v>
      </c>
      <c r="BA69" s="1155">
        <v>0</v>
      </c>
      <c r="BB69" s="1155">
        <v>4</v>
      </c>
      <c r="BC69" s="1155">
        <v>115</v>
      </c>
      <c r="BD69" s="511">
        <v>10</v>
      </c>
      <c r="BE69" s="511">
        <v>10</v>
      </c>
      <c r="BF69" s="511">
        <v>10</v>
      </c>
      <c r="BG69" s="511">
        <v>10</v>
      </c>
      <c r="BH69" s="511">
        <v>10</v>
      </c>
      <c r="BI69" s="1155">
        <v>23</v>
      </c>
    </row>
  </sheetData>
  <sheetProtection formatColumns="0" formatRows="0" autoFilter="0" sort="0" insertRows="0" insertColumns="1" deleteRows="0" deleteColumns="0"/>
  <mergeCells count="122">
    <mergeCell ref="T65:BC65"/>
    <mergeCell ref="T67:BC67"/>
    <mergeCell ref="AL52:AL54"/>
    <mergeCell ref="AM52:AM53"/>
    <mergeCell ref="AN52:AN53"/>
    <mergeCell ref="AO52:AO53"/>
    <mergeCell ref="AP52:AP53"/>
    <mergeCell ref="BC52:BC57"/>
    <mergeCell ref="AF52:AF55"/>
    <mergeCell ref="AG52:AG55"/>
    <mergeCell ref="AH52:AH55"/>
    <mergeCell ref="AI52:AI54"/>
    <mergeCell ref="AJ52:AJ54"/>
    <mergeCell ref="AK52:AK54"/>
    <mergeCell ref="I50:I58"/>
    <mergeCell ref="P50:P58"/>
    <mergeCell ref="V50:AC50"/>
    <mergeCell ref="AD50:BB50"/>
    <mergeCell ref="J51:J57"/>
    <mergeCell ref="Q51:Q57"/>
    <mergeCell ref="V51:AC51"/>
    <mergeCell ref="AD51:BB51"/>
    <mergeCell ref="K52:K56"/>
    <mergeCell ref="S52:S56"/>
    <mergeCell ref="T52:T56"/>
    <mergeCell ref="AD52:AD56"/>
    <mergeCell ref="AE52:AE55"/>
    <mergeCell ref="AA45:AB45"/>
    <mergeCell ref="AY45:AZ45"/>
    <mergeCell ref="E46:E62"/>
    <mergeCell ref="V46:AC46"/>
    <mergeCell ref="AD46:BB46"/>
    <mergeCell ref="F47:F61"/>
    <mergeCell ref="V47:AC47"/>
    <mergeCell ref="AL41:AO44"/>
    <mergeCell ref="AP41:AS44"/>
    <mergeCell ref="AT41:AZ41"/>
    <mergeCell ref="BA41:BA44"/>
    <mergeCell ref="BB41:BB44"/>
    <mergeCell ref="V42:W43"/>
    <mergeCell ref="X42:Y43"/>
    <mergeCell ref="Z42:AB43"/>
    <mergeCell ref="AT42:AU43"/>
    <mergeCell ref="AV42:AW43"/>
    <mergeCell ref="AD47:BB47"/>
    <mergeCell ref="G48:G60"/>
    <mergeCell ref="V48:AC48"/>
    <mergeCell ref="AD48:BB48"/>
    <mergeCell ref="H49:H59"/>
    <mergeCell ref="V49:AC49"/>
    <mergeCell ref="AD49:BB49"/>
    <mergeCell ref="V39:AC39"/>
    <mergeCell ref="AD39:BA39"/>
    <mergeCell ref="S40:BB40"/>
    <mergeCell ref="BC40:BC44"/>
    <mergeCell ref="S41:S44"/>
    <mergeCell ref="T41:T44"/>
    <mergeCell ref="V41:AB41"/>
    <mergeCell ref="AC41:AC44"/>
    <mergeCell ref="AD41:AG44"/>
    <mergeCell ref="AH41:AK44"/>
    <mergeCell ref="AX42:AZ43"/>
    <mergeCell ref="AA44:AB44"/>
    <mergeCell ref="AY44:AZ44"/>
    <mergeCell ref="S36:T36"/>
    <mergeCell ref="V36:AB36"/>
    <mergeCell ref="AD36:AZ36"/>
    <mergeCell ref="S37:T37"/>
    <mergeCell ref="V37:AB37"/>
    <mergeCell ref="AD37:AZ37"/>
    <mergeCell ref="S33:T33"/>
    <mergeCell ref="V33:AB33"/>
    <mergeCell ref="AD33:AZ33"/>
    <mergeCell ref="S34:T34"/>
    <mergeCell ref="V34:AB34"/>
    <mergeCell ref="AD34:AZ34"/>
    <mergeCell ref="S28:AZ28"/>
    <mergeCell ref="S29:AZ29"/>
    <mergeCell ref="S31:T31"/>
    <mergeCell ref="V31:AB31"/>
    <mergeCell ref="AD31:AZ31"/>
    <mergeCell ref="S32:T32"/>
    <mergeCell ref="V32:AB32"/>
    <mergeCell ref="AD32:AZ32"/>
    <mergeCell ref="AL8:AL10"/>
    <mergeCell ref="AM8:AM9"/>
    <mergeCell ref="AN8:AN9"/>
    <mergeCell ref="AO8:AO9"/>
    <mergeCell ref="AP8:AP9"/>
    <mergeCell ref="BC8:BC13"/>
    <mergeCell ref="AF8:AF11"/>
    <mergeCell ref="AG8:AG11"/>
    <mergeCell ref="AH8:AH11"/>
    <mergeCell ref="AI8:AI10"/>
    <mergeCell ref="AJ8:AJ10"/>
    <mergeCell ref="AK8:AK10"/>
    <mergeCell ref="K8:K12"/>
    <mergeCell ref="R8:R12"/>
    <mergeCell ref="S8:S12"/>
    <mergeCell ref="T8:T12"/>
    <mergeCell ref="AD8:AD12"/>
    <mergeCell ref="AE8:AE11"/>
    <mergeCell ref="E2:E18"/>
    <mergeCell ref="V2:AC2"/>
    <mergeCell ref="AD2:BB2"/>
    <mergeCell ref="F3:F17"/>
    <mergeCell ref="V3:AC3"/>
    <mergeCell ref="AD3:BB3"/>
    <mergeCell ref="G4:G16"/>
    <mergeCell ref="V4:AC4"/>
    <mergeCell ref="AD4:BB4"/>
    <mergeCell ref="H5:H15"/>
    <mergeCell ref="V5:AC5"/>
    <mergeCell ref="AD5:BB5"/>
    <mergeCell ref="I6:I14"/>
    <mergeCell ref="P6:P14"/>
    <mergeCell ref="V6:AC6"/>
    <mergeCell ref="AD6:BB6"/>
    <mergeCell ref="J7:J13"/>
    <mergeCell ref="Q7:Q13"/>
    <mergeCell ref="V7:AC7"/>
    <mergeCell ref="AD7:BB7"/>
  </mergeCells>
  <dataValidations count="9">
    <dataValidation allowBlank="1" sqref="S65591:BC65597 S983095:BC983101 S917559:BC917565 S852023:BC852029 S786487:BC786493 S720951:BC720957 S655415:BC655421 S589879:BC589885 S524343:BC524349 S458807:BC458813 S393271:BC393277 S327735:BC327741 S262199:BC262205 S196663:BC196669 S131127:BC131133"/>
    <dataValidation type="list" allowBlank="1" showInputMessage="1" errorTitle="Ошибка" error="Выберите значение из списка" prompt="Выберите значение из списка" sqref="V983092:BB983092 V917556:BB917556 V852020:BB852020 V786484:BB786484 V720948:BB720948 V655412:BB655412 V589876:BB589876 V524340:BB524340 V458804:BB458804 V393268:BB393268 V327732:BB327732 V262196:BB262196 V196660:BB196660 V131124:BB131124 V65588:BB65588">
      <formula1>kind_of_cons</formula1>
    </dataValidation>
    <dataValidation type="decimal" allowBlank="1" showErrorMessage="1" errorTitle="Ошибка" error="Допускается ввод только действительных чисел!" sqref="AO52:AO53 AG8:AG11 AO8:AO9 AG52:AG55">
      <formula1>-9.99999999999999E+23</formula1>
      <formula2>9.99999999999999E+23</formula2>
    </dataValidation>
    <dataValidation allowBlank="1" showInputMessage="1" showErrorMessage="1" prompt="Для выбора выполните двойной щелчок левой клавиши мыши по соответствующей ячейке." sqref="AA65589 AA131125 AA196661 AA262197 AA327733 AA393269 AA458805 AA524341 AA589877 AA655413 AA720949 AA786485 AA852021 AA917557 AA983093 AC131125 AC458805 AC196661 AC262197 AC327733 AC393269 AC524341 AC589877 AC655413 AC720949 AC786485 AC852021 AC917557 AC983093 AC65589 AH52:AH53 AY8 AP52 AK52:AL53 AA8 AY65589 AY131125 AY196661 AY262197 AY327733 AY393269 AY458805 AY524341 AY589877 AY655413 AY720949 AY786485 AY852021 AY917557 AY983093 BA458805 BA196661 BA262197 BA327733 BA393269 BA524341 BA589877 BA655413 BA720949 BA786485 BA852021 BA917557 BA983093 BA65589 BA52 AC8:AD8 BA20 BA8 AY52 AK8:AL9 AD20 AG20:AH20 AK20:AL20 AP20 AY20 AH8:AH9 AP8 BA131125 AC52:AD52 AA52"/>
    <dataValidation type="textLength" operator="lessThanOrEqual" allowBlank="1" showInputMessage="1" showErrorMessage="1" errorTitle="Ошибка" error="Допускается ввод не более 900 символов!" sqref="BC65583:BC65590 BC131119:BC131126 BC196655:BC196662 BC262191:BC262198 BC327727:BC327734 BC393263:BC393270 BC458799:BC458806 BC524335:BC524342 BC589871:BC589878 BC655407:BC655414 BC720943:BC720950 BC786479:BC786486 BC852015:BC852022 BC917551:BC917558 BC983087:BC983094 AS8 T8:T12 AS52 T52:T56">
      <formula1>900</formula1>
    </dataValidation>
    <dataValidation allowBlank="1" promptTitle="checkPeriodRange" sqref="W131126 W196662 W262198 W327734 W393270 W458806 W524342 W589878 W655414 W720950 W786486 W852022 W917558 W983094 AW56 AU12 BB12 AW65590 AW131126 AW196662 AW262198 AW327734 AW393270 AW458806 AW524342 AW589878 AW655414 AW720950 AW786486 AW852022 AW917558 AW983094 Y65590 Y56 W65590 Y131126 Y196662 Y262198 Y327734 Y393270 Y458806 Y524342 Y589878 Y655414 Y720950 Y786486 Y852022 Y917558 Y983094 AU56 Y12 BB56 W12 AW12 W56"/>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9 Z131125 Z196661 Z262197 Z327733 Z393269 Z458805 Z524341 Z589877 Z655413 Z720949 Z786485 Z852021 Z917557 Z983093 AB65589 AB131125 AB196661 AB262197 AB327733 AB393269 AB458805 AB524341 AB589877 AB655413 AB720949 AB786485 AB852021 AB917557 AB983093 Z8 AB8 AX65589 AX131125 AX196661 AX262197 AX327733 AX393269 AX458805 AX524341 AX589877 AX655413 AX720949 AX786485 AX852021 AX917557 AX983093 AZ65589 AZ131125 AZ196661 AZ262197 AZ327733 AZ393269 AZ458805 AZ524341 AZ589877 AZ655413 AZ720949 AZ786485 AZ852021 AZ917557 AZ983093 AX52 AX20 AZ8 AZ52 AX8 AZ20 Z52 AB52"/>
    <dataValidation type="list" allowBlank="1" showInputMessage="1" showErrorMessage="1" errorTitle="Ошибка" error="Выберите значение из списка" sqref="AD917555:AS917555 AD983091:AS983091 AD65587:AS65587 AD131123:AS131123 AD196659:AS196659 AD262195:AS262195 AD327731:AS327731 AD393267:AS393267 AD458803:AS458803 AD524339:AS524339 AD589875:AS589875 AD655411:AS655411 AD720947:AS720947 AD786483:AS786483 AD852019:AS852019">
      <formula1>kind_of_scheme_in</formula1>
    </dataValidation>
    <dataValidation type="list" allowBlank="1" showInputMessage="1" showErrorMessage="1" errorTitle="Ошибка" error="Выберите значение из списка" sqref="T65589 T131125 T196661 T262197 T327733 T393269 T458805 T524341 T589877 T655413 T720949 T786485 T852021 T917557 T983093">
      <formula1>kind_of_heat_transfer</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3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97C5787-3F5D-8B93-D44D-87119E34176C}" mc:Ignorable="x14ac xr xr2 xr3">
  <sheetPr>
    <tabColor theme="9" tint="-0.25"/>
  </sheetPr>
  <dimension ref="A1:AG303"/>
  <sheetViews>
    <sheetView showGridLines="0" zoomScale="90" workbookViewId="0">
      <pane xSplit="8" ySplit="29" topLeftCell="J30" activePane="bottomRight" state="frozen"/>
      <selection pane="bottomLeft" activeCell="A30" sqref="A30"/>
      <selection pane="topRight" activeCell="I1" sqref="I1"/>
      <selection pane="bottomRight" activeCell="J24" sqref="J24"/>
    </sheetView>
  </sheetViews>
  <sheetFormatPr defaultColWidth="9.140625" customHeight="1" defaultRowHeight="11.25"/>
  <cols>
    <col min="1" max="1" style="987" width="10.7109375" hidden="1" customWidth="1"/>
    <col min="2" max="2" style="1366" width="16.8515625" hidden="1" customWidth="1"/>
    <col min="3" max="3" style="1642" width="5.57421875" hidden="1" customWidth="1"/>
    <col min="4" max="4" style="1635" width="3.00390625" customWidth="1"/>
    <col min="5" max="5" style="1635" width="7.00390625" customWidth="1"/>
    <col min="6" max="6" style="1635" width="54.00390625" customWidth="1"/>
    <col min="7" max="7" style="1635" width="10.00390625" customWidth="1"/>
    <col min="8" max="8" style="1635" width="40.7109375" hidden="1" customWidth="1"/>
    <col min="9" max="10" style="1635" width="40.7109375" customWidth="1"/>
    <col min="11" max="11" style="1635" width="102.00390625" customWidth="1"/>
    <col min="12" max="12" style="1366" width="9.00390625" customWidth="1"/>
    <col min="13" max="13" style="1642" width="5.00390625" customWidth="1"/>
    <col min="14" max="14" style="1642" width="3.00390625" customWidth="1"/>
    <col min="15" max="18" style="1366" width="3.00390625" customWidth="1"/>
    <col min="19" max="19" style="1642" width="10.00390625" customWidth="1"/>
    <col min="20" max="20" style="1366" width="34.00390625" customWidth="1"/>
    <col min="21" max="21" style="1366" width="9.00390625" customWidth="1"/>
    <col min="22" max="22" style="736" width="8.00390625" customWidth="1"/>
    <col min="23" max="27" style="1366" width="8.00390625" customWidth="1"/>
    <col min="28" max="32" style="1632" width="8.00390625" customWidth="1"/>
    <col min="33" max="33" style="1635" width="9.140625" hidden="1"/>
  </cols>
  <sheetData>
    <row customHeight="1" ht="22.5" hidden="1">
      <c r="J1" s="1635"/>
      <c r="AG1" s="1631" t="s">
        <v>14</v>
      </c>
    </row>
    <row customHeight="1" ht="23.25" hidden="1">
      <c r="B2" s="2099"/>
      <c r="C2" s="1167" t="s">
        <v>547</v>
      </c>
      <c r="D2" s="1638"/>
      <c r="E2" s="546">
        <f>B2</f>
        <v>0</v>
      </c>
      <c r="F2" s="547"/>
      <c r="G2" s="1646" t="s">
        <v>548</v>
      </c>
      <c r="H2" s="1646" t="s">
        <v>548</v>
      </c>
      <c r="I2" s="1646" t="s">
        <v>548</v>
      </c>
      <c r="J2" s="2312" t="s">
        <v>548</v>
      </c>
      <c r="K2" s="289" t="s">
        <v>549</v>
      </c>
      <c r="L2" s="543"/>
      <c r="AG2" s="1631">
        <v>0</v>
      </c>
    </row>
    <row s="1642" customFormat="1" customHeight="1" ht="0.75" hidden="1">
      <c r="B3" s="2099"/>
      <c r="C3" s="1167"/>
      <c r="D3" s="548"/>
      <c r="E3" s="549"/>
      <c r="F3" s="550" t="s">
        <v>550</v>
      </c>
      <c r="G3" s="551"/>
      <c r="H3" s="551">
        <f>H4*H5+H7</f>
        <v>0</v>
      </c>
      <c r="I3" s="551">
        <f>I4*I5+I6</f>
        <v>0</v>
      </c>
      <c r="J3" s="1373">
        <f>J4*J5+J7</f>
        <v>0</v>
      </c>
      <c r="K3" s="552"/>
      <c r="AG3" s="1636">
        <v>0</v>
      </c>
    </row>
    <row customHeight="1" ht="23.25" hidden="1">
      <c r="B4" s="2099"/>
      <c r="C4" s="1167"/>
      <c r="D4" s="1638"/>
      <c r="E4" s="546" t="str">
        <f>B2&amp;".1"</f>
        <v>.1</v>
      </c>
      <c r="F4" s="553" t="s">
        <v>551</v>
      </c>
      <c r="G4" s="554"/>
      <c r="H4" s="541"/>
      <c r="I4" s="541"/>
      <c r="J4" s="751"/>
      <c r="K4" s="289" t="s">
        <v>552</v>
      </c>
      <c r="L4" s="543"/>
      <c r="AG4" s="1631">
        <v>0</v>
      </c>
    </row>
    <row customHeight="1" ht="18.75" hidden="1">
      <c r="B5" s="2099"/>
      <c r="C5" s="1167"/>
      <c r="D5" s="1638"/>
      <c r="E5" s="546" t="str">
        <f>B2&amp;".2"</f>
        <v>.2</v>
      </c>
      <c r="F5" s="553" t="s">
        <v>553</v>
      </c>
      <c r="G5" s="1646" t="s">
        <v>554</v>
      </c>
      <c r="H5" s="541"/>
      <c r="I5" s="541"/>
      <c r="J5" s="751"/>
      <c r="K5" s="289"/>
      <c r="L5" s="543"/>
      <c r="AG5" s="1631">
        <v>0</v>
      </c>
    </row>
    <row customHeight="1" ht="18.75" hidden="1">
      <c r="B6" s="2099"/>
      <c r="C6" s="1167"/>
      <c r="D6" s="1638"/>
      <c r="E6" s="546" t="str">
        <f>B2&amp;".3"</f>
        <v>.3</v>
      </c>
      <c r="F6" s="553" t="s">
        <v>555</v>
      </c>
      <c r="G6" s="1646" t="s">
        <v>554</v>
      </c>
      <c r="H6" s="541"/>
      <c r="I6" s="541"/>
      <c r="J6" s="751"/>
      <c r="K6" s="289"/>
      <c r="L6" s="543"/>
      <c r="AG6" s="1631">
        <v>0</v>
      </c>
    </row>
    <row customHeight="1" ht="18.75" hidden="1">
      <c r="B7" s="2099"/>
      <c r="C7" s="1167"/>
      <c r="D7" s="1638"/>
      <c r="E7" s="546" t="str">
        <f>B2&amp;".4"</f>
        <v>.4</v>
      </c>
      <c r="F7" s="553" t="s">
        <v>556</v>
      </c>
      <c r="G7" s="1646" t="s">
        <v>548</v>
      </c>
      <c r="H7" s="555"/>
      <c r="I7" s="555"/>
      <c r="J7" s="555"/>
      <c r="K7" s="289"/>
      <c r="L7" s="543"/>
      <c r="AG7" s="1631">
        <v>0</v>
      </c>
    </row>
    <row s="1366" customFormat="1" customHeight="1" ht="11.25" hidden="1">
      <c r="A8" s="987"/>
      <c r="C8" s="1636"/>
      <c r="D8" s="537"/>
      <c r="H8" s="1160">
        <v>4</v>
      </c>
      <c r="I8" s="1160">
        <v>4</v>
      </c>
      <c r="J8" s="1366">
        <v>4</v>
      </c>
      <c r="M8" s="1636"/>
      <c r="N8" s="1636"/>
      <c r="S8" s="1636"/>
      <c r="AG8" s="1160">
        <v>0</v>
      </c>
    </row>
    <row s="1366" customFormat="1" customHeight="1" ht="22.5" hidden="1">
      <c r="A9" s="987"/>
      <c r="C9" s="1636"/>
      <c r="D9" s="538"/>
      <c r="E9" s="1648"/>
      <c r="F9" s="540"/>
      <c r="G9" s="1646" t="s">
        <v>554</v>
      </c>
      <c r="H9" s="541"/>
      <c r="I9" s="541"/>
      <c r="J9" s="751"/>
      <c r="K9" s="542" t="s">
        <v>557</v>
      </c>
      <c r="L9" s="543"/>
      <c r="M9" s="1636"/>
      <c r="N9" s="1636"/>
      <c r="S9" s="1636"/>
      <c r="V9" s="544"/>
      <c r="AB9" s="1632"/>
      <c r="AC9" s="1632"/>
      <c r="AD9" s="1632"/>
      <c r="AE9" s="1632"/>
      <c r="AF9" s="1632"/>
      <c r="AG9" s="1160">
        <v>0</v>
      </c>
    </row>
    <row customHeight="1" ht="11.25" hidden="1">
      <c r="J10" s="1635"/>
      <c r="AG10" s="1631">
        <v>0</v>
      </c>
    </row>
    <row customHeight="1" ht="18.75" hidden="1">
      <c r="D11" s="1638"/>
      <c r="E11" s="546"/>
      <c r="F11" s="540"/>
      <c r="G11" s="1646" t="s">
        <v>558</v>
      </c>
      <c r="H11" s="541"/>
      <c r="I11" s="541"/>
      <c r="J11" s="751"/>
      <c r="K11" s="289" t="s">
        <v>559</v>
      </c>
      <c r="L11" s="543"/>
      <c r="AG11" s="1631">
        <v>0</v>
      </c>
    </row>
    <row customHeight="1" ht="11.25" hidden="1">
      <c r="J12" s="1635"/>
      <c r="AG12" s="1631">
        <v>0</v>
      </c>
    </row>
    <row customHeight="1" ht="22.5" hidden="1">
      <c r="D13" s="1638"/>
      <c r="E13" s="546"/>
      <c r="F13" s="540"/>
      <c r="G13" s="969" t="s">
        <v>560</v>
      </c>
      <c r="H13" s="545"/>
      <c r="I13" s="545"/>
      <c r="J13" s="545"/>
      <c r="K13" s="745" t="s">
        <v>561</v>
      </c>
      <c r="L13" s="543"/>
      <c r="AG13" s="1631">
        <v>0</v>
      </c>
    </row>
    <row customHeight="1" ht="11.25" hidden="1">
      <c r="J14" s="1635"/>
      <c r="AG14" s="1631">
        <v>0</v>
      </c>
    </row>
    <row customHeight="1" ht="22.5" hidden="1">
      <c r="D15" s="1638"/>
      <c r="E15" s="546"/>
      <c r="F15" s="540"/>
      <c r="G15" s="1646" t="s">
        <v>562</v>
      </c>
      <c r="H15" s="545"/>
      <c r="I15" s="545"/>
      <c r="J15" s="545"/>
      <c r="K15" s="289" t="s">
        <v>563</v>
      </c>
      <c r="L15" s="543"/>
      <c r="AG15" s="1631">
        <v>0</v>
      </c>
    </row>
    <row customHeight="1" ht="11.25" hidden="1">
      <c r="J16" s="1635"/>
      <c r="AG16" s="1631">
        <v>0</v>
      </c>
    </row>
    <row customHeight="1" ht="22.5" hidden="1">
      <c r="D17" s="1638"/>
      <c r="E17" s="546"/>
      <c r="F17" s="540"/>
      <c r="G17" s="1646" t="s">
        <v>564</v>
      </c>
      <c r="H17" s="545"/>
      <c r="I17" s="545"/>
      <c r="J17" s="545"/>
      <c r="K17" s="289" t="s">
        <v>565</v>
      </c>
      <c r="L17" s="543"/>
      <c r="AG17" s="1631">
        <v>0</v>
      </c>
    </row>
    <row customHeight="1" ht="11.25" hidden="1">
      <c r="J18" s="1635"/>
      <c r="AG18" s="1631">
        <v>0</v>
      </c>
    </row>
    <row s="1632" customFormat="1" customHeight="1" ht="11.25" hidden="1">
      <c r="A19" s="987"/>
      <c r="B19" s="1160"/>
      <c r="C19" s="1636"/>
      <c r="D19" s="362"/>
      <c r="J19" s="1632"/>
      <c r="K19" s="1632">
        <v>4</v>
      </c>
      <c r="L19" s="1160"/>
      <c r="M19" s="1636"/>
      <c r="N19" s="1636"/>
      <c r="O19" s="1160"/>
      <c r="P19" s="1160"/>
      <c r="Q19" s="1160"/>
      <c r="R19" s="1160"/>
      <c r="S19" s="1636"/>
      <c r="T19" s="1160"/>
      <c r="U19" s="1160"/>
      <c r="V19" s="544"/>
      <c r="W19" s="1160"/>
      <c r="X19" s="1160"/>
      <c r="Y19" s="1160"/>
      <c r="Z19" s="1160"/>
      <c r="AA19" s="1160"/>
      <c r="AG19" s="1632">
        <v>0</v>
      </c>
    </row>
    <row customHeight="1" ht="11.549999999999999">
      <c r="J20" s="1635"/>
      <c r="AG20" s="1631">
        <v>11</v>
      </c>
    </row>
    <row customHeight="1" ht="25.2">
      <c r="E21" s="2248" t="str">
        <f>FHD_NAME_FORM</f>
        <v>Форма 7. Информация об основных показателях финансово-хозяйственной деятельности регулируемой организации, включая структуру основных производственных затрат (в части регулируемых видов деятельности)</v>
      </c>
      <c r="F21" s="2248"/>
      <c r="G21" s="2248"/>
      <c r="H21" s="2248"/>
      <c r="I21" s="2248"/>
      <c r="J21" s="2248"/>
      <c r="K21" s="556"/>
      <c r="AG21" s="1631">
        <v>24</v>
      </c>
    </row>
    <row customHeight="1" ht="25.2">
      <c r="E22" s="2249" t="str">
        <f>IF(org=0,"Не определено",org)</f>
        <v>ПАО "ОГК-2"</v>
      </c>
      <c r="F22" s="2249"/>
      <c r="G22" s="2249"/>
      <c r="H22" s="2249"/>
      <c r="I22" s="2249"/>
      <c r="J22" s="2249"/>
      <c r="AG22" s="1631">
        <v>24</v>
      </c>
    </row>
    <row customHeight="1" ht="11.549999999999999">
      <c r="E23" s="1135"/>
      <c r="F23" s="1135"/>
      <c r="G23" s="1135"/>
      <c r="H23" s="1135"/>
      <c r="I23" s="1135"/>
      <c r="J23" s="1136" t="s">
        <v>22</v>
      </c>
      <c r="AG23" s="1631">
        <v>11</v>
      </c>
    </row>
    <row s="1642" customFormat="1" customHeight="1" ht="1.05">
      <c r="A24" s="1167"/>
      <c r="D24" s="1642"/>
      <c r="H24" s="889"/>
      <c r="I24" s="889" t="s">
        <v>117</v>
      </c>
      <c r="J24" s="889" t="s">
        <v>123</v>
      </c>
      <c r="AG24" s="1636">
        <v>1</v>
      </c>
    </row>
    <row customHeight="1" ht="11.549999999999999">
      <c r="E25" s="711"/>
      <c r="F25" s="2367" t="s">
        <v>105</v>
      </c>
      <c r="G25" s="2368"/>
      <c r="H25" s="1652" t="str">
        <f>IF(H24="","",INDEX(DIFFERENTIATION_UNMERGE_VD,MATCH(H24,DIFFERENTIATION_ID_DIFF,0)))</f>
        <v/>
      </c>
      <c r="I25" s="1652" t="str">
        <f>IF(I24="","",INDEX(DIFFERENTIATION_UNMERGE_VD,MATCH(I24,DIFFERENTIATION_ID_DIFF,0)))</f>
        <v>Производство тепловой энергии. Некомбинированная выработка</v>
      </c>
      <c r="J25" s="2393" t="str">
        <f>IF(J24="","",INDEX(DIFFERENTIATION_UNMERGE_VD,MATCH(J24,DIFFERENTIATION_ID_DIFF,0)))</f>
        <v>Производство. Теплоноситель</v>
      </c>
      <c r="K25" s="2127"/>
      <c r="AG25" s="1631">
        <v>11</v>
      </c>
    </row>
    <row customHeight="1" ht="11.549999999999999">
      <c r="E26" s="711"/>
      <c r="F26" s="2367" t="s">
        <v>566</v>
      </c>
      <c r="G26" s="2368"/>
      <c r="H26" s="1652" t="str">
        <f>IF(H24="","",INDEX(DIFFERENTIATION_UNMERGE_AREA,MATCH(H24,DIFFERENTIATION_ID_DIFF,0)))</f>
        <v/>
      </c>
      <c r="I26" s="1652" t="str">
        <f>IF(I24="","",INDEX(DIFFERENTIATION_UNMERGE_AREA,MATCH(I24,DIFFERENTIATION_ID_DIFF,0)))</f>
        <v>без дифференциации</v>
      </c>
      <c r="J26" s="2393" t="str">
        <f>IF(J24="","",INDEX(DIFFERENTIATION_UNMERGE_AREA,MATCH(J24,DIFFERENTIATION_ID_DIFF,0)))</f>
        <v>без дифференциации</v>
      </c>
      <c r="K26" s="2127"/>
      <c r="AG26" s="1631">
        <v>11</v>
      </c>
    </row>
    <row customHeight="1" ht="11.549999999999999">
      <c r="E27" s="711"/>
      <c r="F27" s="2367" t="s">
        <v>567</v>
      </c>
      <c r="G27" s="2368"/>
      <c r="H27" s="1652" t="str">
        <f>IF(H24="","",INDEX(DIFFERENTIATION_UNMERGE_SYSTEM,MATCH(H24,DIFFERENTIATION_ID_DIFF,0)))</f>
        <v/>
      </c>
      <c r="I27" s="1652" t="str">
        <f>IF(I24="","",INDEX(DIFFERENTIATION_UNMERGE_SYSTEM,MATCH(I24,DIFFERENTIATION_ID_DIFF,0)))</f>
        <v>без дифференциации</v>
      </c>
      <c r="J27" s="2393" t="str">
        <f>IF(J24="","",INDEX(DIFFERENTIATION_UNMERGE_SYSTEM,MATCH(J24,DIFFERENTIATION_ID_DIFF,0)))</f>
        <v>без дифференциации</v>
      </c>
      <c r="K27" s="2127"/>
      <c r="AG27" s="1631">
        <v>11</v>
      </c>
    </row>
    <row customHeight="1" ht="11.549999999999999">
      <c r="E28" s="2369" t="s">
        <v>302</v>
      </c>
      <c r="F28" s="2370"/>
      <c r="G28" s="2370"/>
      <c r="H28" s="1645"/>
      <c r="I28" s="1645"/>
      <c r="J28" s="2367"/>
      <c r="K28" s="2127"/>
      <c r="AG28" s="1631">
        <v>11</v>
      </c>
    </row>
    <row customHeight="1" ht="24">
      <c r="E29" s="1646" t="s">
        <v>88</v>
      </c>
      <c r="F29" s="1653" t="s">
        <v>304</v>
      </c>
      <c r="G29" s="1653" t="s">
        <v>568</v>
      </c>
      <c r="H29" s="1653" t="s">
        <v>305</v>
      </c>
      <c r="I29" s="1653" t="s">
        <v>305</v>
      </c>
      <c r="J29" s="2312" t="s">
        <v>305</v>
      </c>
      <c r="K29" s="2127"/>
      <c r="AG29" s="1631">
        <v>23</v>
      </c>
    </row>
    <row customHeight="1" ht="19.95">
      <c r="D30" s="1638"/>
      <c r="E30" s="546">
        <f>FHD_NUM_P_1</f>
        <v>1</v>
      </c>
      <c r="F30" s="1880" t="str">
        <f>FHD_P_1</f>
        <v>Выручка от регулируемого вида деятельности с распределением по видам деятельности</v>
      </c>
      <c r="G30" s="1878" t="s">
        <v>554</v>
      </c>
      <c r="H30" s="557"/>
      <c r="I30" s="557"/>
      <c r="J30" s="557"/>
      <c r="K30" s="289" t="str">
        <f>FHD_NOTE_P_1</f>
        <v>Указывается выручка от регулируемого вида деятельности с распределением по видам деятельности.</v>
      </c>
      <c r="L30" s="543"/>
      <c r="AG30" s="1631">
        <v>19</v>
      </c>
    </row>
    <row customHeight="1" ht="11.549999999999999">
      <c r="D31" s="1638"/>
      <c r="E31" s="546">
        <f>FHD_NUM_P_2</f>
        <v>2</v>
      </c>
      <c r="F31" s="1880" t="str">
        <f>FHD_P_2</f>
        <v>Себестоимость производимых товаров (оказываемых услуг) по регулируемому виду деятельности, включая:</v>
      </c>
      <c r="G31" s="1878" t="s">
        <v>554</v>
      </c>
      <c r="H31" s="558">
        <f>SUMIF($L33:$L71,$L31,H33:H71)</f>
        <v>0</v>
      </c>
      <c r="I31" s="558">
        <f>SUMIF($L33:$L71,$L31,I33:I71)</f>
        <v>0</v>
      </c>
      <c r="J31" s="558">
        <f>SUMIF($L33:$L71,$L31,J33:J71)</f>
        <v>0</v>
      </c>
      <c r="K31" s="289" t="str">
        <f>FHD_NOTE_P_2</f>
        <v>Указывается суммарная себестоимость производимых товаров.</v>
      </c>
      <c r="L31" s="1636" t="s">
        <v>569</v>
      </c>
      <c r="AG31" s="1631">
        <v>11</v>
      </c>
    </row>
    <row customHeight="1" ht="11.549999999999999">
      <c r="D32" s="1638"/>
      <c r="E32" s="546" t="str">
        <f>FHD_NUM_P_3</f>
        <v>2.1</v>
      </c>
      <c r="F32" s="1524" t="str">
        <f>FHD_P_3</f>
        <v>Расходы на приобретаемую тепловую энергию (мощность), теплоноситель</v>
      </c>
      <c r="G32" s="1878" t="s">
        <v>554</v>
      </c>
      <c r="H32" s="557"/>
      <c r="I32" s="557"/>
      <c r="J32" s="557"/>
      <c r="K32" s="289" t="str">
        <f>FHD_NOTE_P_3</f>
        <v/>
      </c>
      <c r="L32" s="1636" t="str">
        <f>IF((LEN(E32)-LEN(SUBSTITUTE(E32,".","")))/LEN(".")=1,"p","")</f>
        <v>p</v>
      </c>
      <c r="AG32" s="1631">
        <v>11</v>
      </c>
    </row>
    <row customHeight="1" ht="11.25">
      <c r="A33" s="2371" t="s">
        <v>570</v>
      </c>
      <c r="D33" s="1638"/>
      <c r="E33" s="546" t="str">
        <f>FHD_NUM_P_4</f>
        <v>2.2</v>
      </c>
      <c r="F33" s="1524" t="str">
        <f>FHD_P_4</f>
        <v>Расходы на топливо с указанием по каждому виду топлива стоимости (за единицу объема), объема и способа его приобретения, стоимости его доставки</v>
      </c>
      <c r="G33" s="1878" t="s">
        <v>554</v>
      </c>
      <c r="H33" s="558">
        <f>SUMIF($F34:$F40,$F3,H34:H40)</f>
        <v>0</v>
      </c>
      <c r="I33" s="558">
        <f>SUMIF($F34:$F40,$F3,I34:I40)</f>
        <v>0</v>
      </c>
      <c r="J33" s="558">
        <f>SUMIF($F34:$F40,$F3,J34:J40)</f>
        <v>0</v>
      </c>
      <c r="K33" s="289" t="str">
        <f>FHD_NOTE_P_4</f>
        <v>Указываются суммарные расходы на приобретение топлива всех видов.</v>
      </c>
      <c r="L33" s="1636" t="str">
        <f>IF((LEN(E33)-LEN(SUBSTITUTE(E33,".","")))/LEN(".")=1,"p","")</f>
        <v>p</v>
      </c>
      <c r="AG33" s="1631">
        <v>0</v>
      </c>
    </row>
    <row s="1641" customFormat="1" customHeight="1" ht="0.75">
      <c r="A34" s="2371"/>
      <c r="B34" s="2372" t="str">
        <f>E33&amp;".0"</f>
        <v>2.2.0</v>
      </c>
      <c r="C34" s="1167"/>
      <c r="D34" s="560"/>
      <c r="E34" s="561"/>
      <c r="F34" s="562"/>
      <c r="G34" s="563"/>
      <c r="H34" s="497"/>
      <c r="I34" s="497"/>
      <c r="J34" s="497"/>
      <c r="K34" s="564"/>
      <c r="L34" s="1636" t="str">
        <f>IF((LEN(E34)-LEN(SUBSTITUTE(E34,".","")))/LEN(".")=1,"p","")</f>
        <v/>
      </c>
      <c r="M34" s="1636"/>
      <c r="N34" s="1636"/>
      <c r="O34" s="1636"/>
      <c r="P34" s="1636"/>
      <c r="Q34" s="1636"/>
      <c r="R34" s="1636"/>
      <c r="S34" s="1636"/>
      <c r="T34" s="1636"/>
      <c r="U34" s="1636"/>
      <c r="V34" s="565"/>
      <c r="W34" s="1636"/>
      <c r="X34" s="1636"/>
      <c r="Y34" s="1636"/>
      <c r="Z34" s="1636"/>
      <c r="AA34" s="1636"/>
      <c r="AB34" s="566"/>
      <c r="AC34" s="566"/>
      <c r="AD34" s="566"/>
      <c r="AE34" s="566"/>
      <c r="AF34" s="566"/>
      <c r="AG34" s="1641">
        <v>0</v>
      </c>
    </row>
    <row s="1641" customFormat="1" customHeight="1" ht="0.75">
      <c r="A35" s="2371"/>
      <c r="B35" s="2372"/>
      <c r="C35" s="1167"/>
      <c r="D35" s="560"/>
      <c r="E35" s="567"/>
      <c r="F35" s="568"/>
      <c r="G35" s="563"/>
      <c r="H35" s="569"/>
      <c r="I35" s="569"/>
      <c r="J35" s="569"/>
      <c r="K35" s="564"/>
      <c r="L35" s="1636" t="str">
        <f>IF((LEN(E35)-LEN(SUBSTITUTE(E35,".","")))/LEN(".")=1,"p","")</f>
        <v/>
      </c>
      <c r="M35" s="1636"/>
      <c r="N35" s="1636"/>
      <c r="O35" s="1636"/>
      <c r="P35" s="1636"/>
      <c r="Q35" s="1636"/>
      <c r="R35" s="1636"/>
      <c r="S35" s="1636"/>
      <c r="T35" s="1636"/>
      <c r="U35" s="1636"/>
      <c r="V35" s="565"/>
      <c r="W35" s="1636"/>
      <c r="X35" s="1636"/>
      <c r="Y35" s="1636"/>
      <c r="Z35" s="1636"/>
      <c r="AA35" s="1636"/>
      <c r="AB35" s="566"/>
      <c r="AC35" s="566"/>
      <c r="AD35" s="566"/>
      <c r="AE35" s="566"/>
      <c r="AF35" s="566"/>
      <c r="AG35" s="1641">
        <v>0</v>
      </c>
    </row>
    <row s="1641" customFormat="1" customHeight="1" ht="0.75">
      <c r="A36" s="2371"/>
      <c r="B36" s="2372"/>
      <c r="C36" s="1167"/>
      <c r="D36" s="560"/>
      <c r="E36" s="567"/>
      <c r="F36" s="568"/>
      <c r="G36" s="563"/>
      <c r="H36" s="569"/>
      <c r="I36" s="569"/>
      <c r="J36" s="569"/>
      <c r="K36" s="564"/>
      <c r="L36" s="1636" t="str">
        <f>IF((LEN(E36)-LEN(SUBSTITUTE(E36,".","")))/LEN(".")=1,"p","")</f>
        <v/>
      </c>
      <c r="M36" s="1636"/>
      <c r="N36" s="1636"/>
      <c r="O36" s="1636"/>
      <c r="P36" s="1636"/>
      <c r="Q36" s="1636"/>
      <c r="R36" s="1636"/>
      <c r="S36" s="1636"/>
      <c r="T36" s="1636"/>
      <c r="U36" s="1636"/>
      <c r="V36" s="565"/>
      <c r="W36" s="1636"/>
      <c r="X36" s="1636"/>
      <c r="Y36" s="1636"/>
      <c r="Z36" s="1636"/>
      <c r="AA36" s="1636"/>
      <c r="AB36" s="566"/>
      <c r="AC36" s="566"/>
      <c r="AD36" s="566"/>
      <c r="AE36" s="566"/>
      <c r="AF36" s="566"/>
      <c r="AG36" s="1641">
        <v>0</v>
      </c>
    </row>
    <row s="1641" customFormat="1" customHeight="1" ht="0.75">
      <c r="A37" s="2371"/>
      <c r="B37" s="2372"/>
      <c r="C37" s="1167"/>
      <c r="D37" s="560"/>
      <c r="E37" s="567"/>
      <c r="F37" s="568"/>
      <c r="G37" s="563"/>
      <c r="H37" s="569"/>
      <c r="I37" s="569"/>
      <c r="J37" s="569"/>
      <c r="K37" s="564"/>
      <c r="L37" s="1636" t="str">
        <f>IF((LEN(E37)-LEN(SUBSTITUTE(E37,".","")))/LEN(".")=1,"p","")</f>
        <v/>
      </c>
      <c r="M37" s="1636"/>
      <c r="N37" s="1636"/>
      <c r="O37" s="1636"/>
      <c r="P37" s="1636"/>
      <c r="Q37" s="1636"/>
      <c r="R37" s="1636"/>
      <c r="S37" s="1636"/>
      <c r="T37" s="1636"/>
      <c r="U37" s="1636"/>
      <c r="V37" s="565"/>
      <c r="W37" s="1636"/>
      <c r="X37" s="1636"/>
      <c r="Y37" s="1636"/>
      <c r="Z37" s="1636"/>
      <c r="AA37" s="1636"/>
      <c r="AB37" s="566"/>
      <c r="AC37" s="566"/>
      <c r="AD37" s="566"/>
      <c r="AE37" s="566"/>
      <c r="AF37" s="566"/>
      <c r="AG37" s="1641">
        <v>0</v>
      </c>
    </row>
    <row s="1641" customFormat="1" customHeight="1" ht="0.75">
      <c r="A38" s="2371"/>
      <c r="B38" s="2372"/>
      <c r="C38" s="1167"/>
      <c r="D38" s="560"/>
      <c r="E38" s="567"/>
      <c r="F38" s="568"/>
      <c r="G38" s="563"/>
      <c r="H38" s="569"/>
      <c r="I38" s="569"/>
      <c r="J38" s="569"/>
      <c r="K38" s="564"/>
      <c r="L38" s="1636" t="str">
        <f>IF((LEN(E38)-LEN(SUBSTITUTE(E38,".","")))/LEN(".")=1,"p","")</f>
        <v/>
      </c>
      <c r="M38" s="1636"/>
      <c r="N38" s="1636"/>
      <c r="O38" s="1636"/>
      <c r="P38" s="1636"/>
      <c r="Q38" s="1636"/>
      <c r="R38" s="1636"/>
      <c r="S38" s="1636"/>
      <c r="T38" s="1636"/>
      <c r="U38" s="1636"/>
      <c r="V38" s="565"/>
      <c r="W38" s="1636"/>
      <c r="X38" s="1636"/>
      <c r="Y38" s="1636"/>
      <c r="Z38" s="1636"/>
      <c r="AA38" s="1636"/>
      <c r="AB38" s="566"/>
      <c r="AC38" s="566"/>
      <c r="AD38" s="566"/>
      <c r="AE38" s="566"/>
      <c r="AF38" s="566"/>
      <c r="AG38" s="1641">
        <v>0</v>
      </c>
    </row>
    <row s="1641" customFormat="1" customHeight="1" ht="0.75">
      <c r="A39" s="2371"/>
      <c r="B39" s="2372"/>
      <c r="C39" s="1167"/>
      <c r="D39" s="560"/>
      <c r="E39" s="567"/>
      <c r="F39" s="568"/>
      <c r="G39" s="563"/>
      <c r="H39" s="497"/>
      <c r="I39" s="497"/>
      <c r="J39" s="497"/>
      <c r="K39" s="564"/>
      <c r="L39" s="1636" t="str">
        <f>IF((LEN(E39)-LEN(SUBSTITUTE(E39,".","")))/LEN(".")=1,"p","")</f>
        <v/>
      </c>
      <c r="M39" s="1636"/>
      <c r="N39" s="1636"/>
      <c r="O39" s="1636"/>
      <c r="P39" s="1636"/>
      <c r="Q39" s="1636"/>
      <c r="R39" s="1636"/>
      <c r="S39" s="1636"/>
      <c r="T39" s="1636"/>
      <c r="U39" s="1636"/>
      <c r="V39" s="565"/>
      <c r="W39" s="1636"/>
      <c r="X39" s="1636"/>
      <c r="Y39" s="1636"/>
      <c r="Z39" s="1636"/>
      <c r="AA39" s="1636"/>
      <c r="AB39" s="566"/>
      <c r="AC39" s="566"/>
      <c r="AD39" s="566"/>
      <c r="AE39" s="566"/>
      <c r="AF39" s="566"/>
      <c r="AG39" s="1641">
        <v>0</v>
      </c>
    </row>
    <row s="1366" customFormat="1" customHeight="1" ht="15">
      <c r="A40" s="2371"/>
      <c r="C40" s="1636"/>
      <c r="D40" s="1633"/>
      <c r="E40" s="570"/>
      <c r="F40" s="571" t="s">
        <v>571</v>
      </c>
      <c r="G40" s="572"/>
      <c r="H40" s="573"/>
      <c r="I40" s="573"/>
      <c r="J40" s="2633"/>
      <c r="K40" s="301"/>
      <c r="L40" s="1636" t="str">
        <f>IF((LEN(E40)-LEN(SUBSTITUTE(E40,".","")))/LEN(".")=1,"p","")</f>
        <v/>
      </c>
      <c r="M40" s="1636"/>
      <c r="N40" s="1636"/>
      <c r="S40" s="1636"/>
      <c r="V40" s="544"/>
      <c r="AB40" s="1632"/>
      <c r="AC40" s="1632"/>
      <c r="AD40" s="1632"/>
      <c r="AE40" s="1632"/>
      <c r="AF40" s="1632"/>
      <c r="AG40" s="1160">
        <v>0</v>
      </c>
    </row>
    <row customHeight="1" ht="11.25" hidden="1">
      <c r="A41" s="2371" t="s">
        <v>572</v>
      </c>
      <c r="D41" s="1638"/>
      <c r="E41" s="546" t="str">
        <f>FHD_NUM_P_5</f>
        <v/>
      </c>
      <c r="F41" s="1524" t="str">
        <f>FHD_P_5</f>
        <v/>
      </c>
      <c r="G41" s="1878" t="s">
        <v>554</v>
      </c>
      <c r="H41" s="557"/>
      <c r="I41" s="557"/>
      <c r="J41" s="557"/>
      <c r="K41" s="289" t="str">
        <f>FHD_NOTE_P_5</f>
        <v/>
      </c>
      <c r="L41" s="1636" t="str">
        <f>IF((LEN(E41)-LEN(SUBSTITUTE(E41,".","")))/LEN(".")=1,"p","")</f>
        <v/>
      </c>
      <c r="AG41" s="1631">
        <v>0</v>
      </c>
    </row>
    <row customHeight="1" ht="11.25" hidden="1">
      <c r="A42" s="2371"/>
      <c r="D42" s="1638"/>
      <c r="E42" s="546" t="str">
        <f>FHD_NUM_P_6</f>
        <v/>
      </c>
      <c r="F42" s="1524" t="str">
        <f>FHD_P_6</f>
        <v/>
      </c>
      <c r="G42" s="1878" t="s">
        <v>554</v>
      </c>
      <c r="H42" s="557"/>
      <c r="I42" s="557"/>
      <c r="J42" s="557"/>
      <c r="K42" s="289" t="str">
        <f>FHD_NOTE_P_6</f>
        <v/>
      </c>
      <c r="L42" s="1636" t="str">
        <f>IF((LEN(E42)-LEN(SUBSTITUTE(E42,".","")))/LEN(".")=1,"p","")</f>
        <v/>
      </c>
      <c r="AG42" s="1631">
        <v>0</v>
      </c>
    </row>
    <row customHeight="1" ht="11.25" hidden="1">
      <c r="A43" s="2371"/>
      <c r="D43" s="1638"/>
      <c r="E43" s="546" t="str">
        <f>FHD_NUM_P_7</f>
        <v/>
      </c>
      <c r="F43" s="1524" t="str">
        <f>FHD_P_7</f>
        <v/>
      </c>
      <c r="G43" s="1878" t="s">
        <v>554</v>
      </c>
      <c r="H43" s="557"/>
      <c r="I43" s="557"/>
      <c r="J43" s="557"/>
      <c r="K43" s="289" t="str">
        <f>FHD_NOTE_P_7</f>
        <v/>
      </c>
      <c r="L43" s="1636" t="str">
        <f>IF((LEN(E43)-LEN(SUBSTITUTE(E43,".","")))/LEN(".")=1,"p","")</f>
        <v/>
      </c>
      <c r="AG43" s="1631">
        <v>0</v>
      </c>
    </row>
    <row customHeight="1" ht="11.549999999999999">
      <c r="D44" s="1638"/>
      <c r="E44" s="546" t="str">
        <f>FHD_NUM_P_8</f>
        <v>2.3</v>
      </c>
      <c r="F44" s="1524" t="str">
        <f>FHD_P_8</f>
        <v>Расходы на приобретаемую электрическую энергию (мощность), используемую в технологическом процессе</v>
      </c>
      <c r="G44" s="1878" t="s">
        <v>554</v>
      </c>
      <c r="H44" s="557"/>
      <c r="I44" s="557"/>
      <c r="J44" s="557"/>
      <c r="K44" s="289" t="str">
        <f>FHD_NOTE_P_8</f>
        <v/>
      </c>
      <c r="L44" s="1636" t="str">
        <f>IF((LEN(E44)-LEN(SUBSTITUTE(E44,".","")))/LEN(".")=1,"p","")</f>
        <v>p</v>
      </c>
      <c r="AG44" s="1631">
        <v>11</v>
      </c>
    </row>
    <row customHeight="1" ht="11.549999999999999">
      <c r="D45" s="1638"/>
      <c r="E45" s="546" t="str">
        <f>FHD_NUM_P_9</f>
        <v>2.3.1</v>
      </c>
      <c r="F45" s="1650" t="str">
        <f>FHD_P_9</f>
        <v>Средневзвешенная стоимость 1 кВт.ч (с учетом мощности)</v>
      </c>
      <c r="G45" s="1878" t="s">
        <v>573</v>
      </c>
      <c r="H45" s="557"/>
      <c r="I45" s="557"/>
      <c r="J45" s="557"/>
      <c r="K45" s="289" t="str">
        <f>FHD_NOTE_P_9</f>
        <v/>
      </c>
      <c r="L45" s="1636" t="str">
        <f>IF((LEN(E45)-LEN(SUBSTITUTE(E45,".","")))/LEN(".")=1,"p","")</f>
        <v/>
      </c>
      <c r="AG45" s="1631">
        <v>11</v>
      </c>
    </row>
    <row s="1366" customFormat="1" customHeight="1" ht="11.549999999999999">
      <c r="A46" s="987"/>
      <c r="C46" s="1636"/>
      <c r="D46" s="574"/>
      <c r="E46" s="546" t="str">
        <f>FHD_NUM_P_10</f>
        <v>2.3.2</v>
      </c>
      <c r="F46" s="1650" t="str">
        <f>FHD_P_10</f>
        <v>Объём приобретения электрической энергии</v>
      </c>
      <c r="G46" s="1878" t="s">
        <v>574</v>
      </c>
      <c r="H46" s="557"/>
      <c r="I46" s="557"/>
      <c r="J46" s="557"/>
      <c r="K46" s="289" t="str">
        <f>FHD_NOTE_P_10</f>
        <v/>
      </c>
      <c r="L46" s="1636" t="str">
        <f>IF((LEN(E46)-LEN(SUBSTITUTE(E46,".","")))/LEN(".")=1,"p","")</f>
        <v/>
      </c>
      <c r="M46" s="1636"/>
      <c r="N46" s="1636"/>
      <c r="S46" s="1636"/>
      <c r="V46" s="544"/>
      <c r="AB46" s="1632"/>
      <c r="AC46" s="1632"/>
      <c r="AD46" s="1632"/>
      <c r="AE46" s="1632"/>
      <c r="AF46" s="1632"/>
      <c r="AG46" s="1160">
        <v>11</v>
      </c>
    </row>
    <row s="1366" customFormat="1" customHeight="1" ht="11.25">
      <c r="A47" s="989" t="s">
        <v>575</v>
      </c>
      <c r="C47" s="1636"/>
      <c r="D47" s="575"/>
      <c r="E47" s="546" t="str">
        <f>FHD_NUM_P_11</f>
        <v>2.4</v>
      </c>
      <c r="F47" s="1524" t="str">
        <f>FHD_P_11</f>
        <v>Расходы на приобретение холодной воды, используемой в технологическом процессе</v>
      </c>
      <c r="G47" s="1878" t="s">
        <v>554</v>
      </c>
      <c r="H47" s="557"/>
      <c r="I47" s="557"/>
      <c r="J47" s="557"/>
      <c r="K47" s="289" t="str">
        <f>FHD_NOTE_P_11</f>
        <v/>
      </c>
      <c r="L47" s="1636" t="str">
        <f>IF((LEN(E47)-LEN(SUBSTITUTE(E47,".","")))/LEN(".")=1,"p","")</f>
        <v>p</v>
      </c>
      <c r="M47" s="1636"/>
      <c r="N47" s="1636"/>
      <c r="S47" s="1636"/>
      <c r="V47" s="544"/>
      <c r="AB47" s="1632"/>
      <c r="AC47" s="1632"/>
      <c r="AD47" s="1632"/>
      <c r="AE47" s="1632"/>
      <c r="AF47" s="1632"/>
      <c r="AG47" s="1160">
        <v>0</v>
      </c>
    </row>
    <row s="1366" customFormat="1" customHeight="1" ht="18.75">
      <c r="A48" s="989" t="s">
        <v>576</v>
      </c>
      <c r="C48" s="1636"/>
      <c r="D48" s="1638"/>
      <c r="E48" s="546" t="str">
        <f>FHD_NUM_P_12</f>
        <v>2.5</v>
      </c>
      <c r="F48" s="1524" t="str">
        <f>FHD_P_12</f>
        <v>Расходы на  химические реагенты, используемые в технологическом процессе</v>
      </c>
      <c r="G48" s="1878" t="s">
        <v>554</v>
      </c>
      <c r="H48" s="577"/>
      <c r="I48" s="577"/>
      <c r="J48" s="577"/>
      <c r="K48" s="289" t="str">
        <f>FHD_NOTE_P_12</f>
        <v/>
      </c>
      <c r="L48" s="1636" t="str">
        <f>IF((LEN(E48)-LEN(SUBSTITUTE(E48,".","")))/LEN(".")=1,"p","")</f>
        <v>p</v>
      </c>
      <c r="M48" s="1636"/>
      <c r="N48" s="1636"/>
      <c r="S48" s="1636"/>
      <c r="V48" s="544"/>
      <c r="AB48" s="1632"/>
      <c r="AC48" s="1632"/>
      <c r="AD48" s="1632"/>
      <c r="AE48" s="1632"/>
      <c r="AF48" s="1632"/>
      <c r="AG48" s="1160">
        <v>18</v>
      </c>
    </row>
    <row s="1365" customFormat="1" customHeight="1" ht="11.549999999999999">
      <c r="A49" s="988"/>
      <c r="C49" s="730"/>
      <c r="D49" s="673"/>
      <c r="E49" s="546" t="str">
        <f>FHD_NUM_P_13</f>
        <v>2.6</v>
      </c>
      <c r="F49" s="1524" t="str">
        <f>FHD_P_13</f>
        <v>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v>
      </c>
      <c r="G49" s="1878" t="s">
        <v>554</v>
      </c>
      <c r="H49" s="557"/>
      <c r="I49" s="557"/>
      <c r="J49" s="557"/>
      <c r="K49" s="289" t="str">
        <f>FHD_NOTE_P_13</f>
        <v/>
      </c>
      <c r="L49" s="1636" t="str">
        <f>IF((LEN(E49)-LEN(SUBSTITUTE(E49,".","")))/LEN(".")=1,"p","")</f>
        <v>p</v>
      </c>
      <c r="M49" s="730"/>
      <c r="N49" s="730"/>
      <c r="S49" s="730"/>
      <c r="V49" s="731"/>
      <c r="AB49" s="732"/>
      <c r="AC49" s="732"/>
      <c r="AD49" s="732"/>
      <c r="AE49" s="732"/>
      <c r="AF49" s="732"/>
      <c r="AG49" s="729">
        <v>11</v>
      </c>
    </row>
    <row s="1365" customFormat="1" customHeight="1" ht="11.549999999999999">
      <c r="A50" s="988"/>
      <c r="C50" s="730"/>
      <c r="D50" s="673"/>
      <c r="E50" s="546" t="str">
        <f>FHD_NUM_P_14</f>
        <v>2.6.1</v>
      </c>
      <c r="F50" s="1650" t="str">
        <f>FHD_P_14</f>
        <v>Расходы на оплату труда основного производственного персонала</v>
      </c>
      <c r="G50" s="1878" t="s">
        <v>554</v>
      </c>
      <c r="H50" s="557"/>
      <c r="I50" s="557"/>
      <c r="J50" s="557"/>
      <c r="K50" s="289" t="str">
        <f>FHD_NOTE_P_14</f>
        <v/>
      </c>
      <c r="L50" s="1636" t="str">
        <f>IF((LEN(E50)-LEN(SUBSTITUTE(E50,".","")))/LEN(".")=1,"p","")</f>
        <v/>
      </c>
      <c r="M50" s="730"/>
      <c r="N50" s="730"/>
      <c r="S50" s="730"/>
      <c r="V50" s="731"/>
      <c r="AB50" s="732"/>
      <c r="AC50" s="732"/>
      <c r="AD50" s="732"/>
      <c r="AE50" s="732"/>
      <c r="AF50" s="732"/>
      <c r="AG50" s="729">
        <v>11</v>
      </c>
    </row>
    <row s="1365" customFormat="1" customHeight="1" ht="11.549999999999999">
      <c r="A51" s="988"/>
      <c r="C51" s="730"/>
      <c r="D51" s="673"/>
      <c r="E51" s="546" t="str">
        <f>FHD_NUM_P_15</f>
        <v>2.6.2</v>
      </c>
      <c r="F51" s="1650" t="str">
        <f>FHD_P_15</f>
        <v>Страховые взносы на обязательное социальное страхование, выплачиваемые из фонда оплаты труда основного производственного персонала</v>
      </c>
      <c r="G51" s="1878" t="s">
        <v>554</v>
      </c>
      <c r="H51" s="557"/>
      <c r="I51" s="557"/>
      <c r="J51" s="557"/>
      <c r="K51" s="289" t="str">
        <f>FHD_NOTE_P_15</f>
        <v/>
      </c>
      <c r="L51" s="1636" t="str">
        <f>IF((LEN(E51)-LEN(SUBSTITUTE(E51,".","")))/LEN(".")=1,"p","")</f>
        <v/>
      </c>
      <c r="M51" s="730"/>
      <c r="N51" s="730"/>
      <c r="S51" s="730"/>
      <c r="V51" s="731"/>
      <c r="AB51" s="732"/>
      <c r="AC51" s="732"/>
      <c r="AD51" s="732"/>
      <c r="AE51" s="732"/>
      <c r="AF51" s="732"/>
      <c r="AG51" s="729">
        <v>11</v>
      </c>
    </row>
    <row s="1366" customFormat="1" customHeight="1" ht="11.549999999999999">
      <c r="A52" s="987"/>
      <c r="C52" s="1636"/>
      <c r="D52" s="1638"/>
      <c r="E52" s="546" t="str">
        <f>FHD_NUM_P_16</f>
        <v>2.7</v>
      </c>
      <c r="F52" s="1524" t="str">
        <f>FHD_P_16</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v>
      </c>
      <c r="G52" s="1878" t="s">
        <v>554</v>
      </c>
      <c r="H52" s="557"/>
      <c r="I52" s="557"/>
      <c r="J52" s="557"/>
      <c r="K52" s="289" t="str">
        <f>FHD_NOTE_P_16</f>
        <v/>
      </c>
      <c r="L52" s="1636" t="str">
        <f>IF((LEN(E52)-LEN(SUBSTITUTE(E52,".","")))/LEN(".")=1,"p","")</f>
        <v>p</v>
      </c>
      <c r="M52" s="1636"/>
      <c r="N52" s="1642"/>
      <c r="O52" s="537"/>
      <c r="P52" s="537"/>
      <c r="S52" s="1636"/>
      <c r="V52" s="544"/>
      <c r="AB52" s="1632"/>
      <c r="AC52" s="1632"/>
      <c r="AD52" s="1632"/>
      <c r="AE52" s="1632"/>
      <c r="AF52" s="1632"/>
      <c r="AG52" s="1160">
        <v>11</v>
      </c>
    </row>
    <row s="1366" customFormat="1" customHeight="1" ht="11.549999999999999">
      <c r="A53" s="987"/>
      <c r="C53" s="1636"/>
      <c r="D53" s="1638"/>
      <c r="E53" s="546" t="str">
        <f>FHD_NUM_P_17</f>
        <v>2.7.1</v>
      </c>
      <c r="F53" s="1650" t="str">
        <f>FHD_P_17</f>
        <v>Расходы на оплату труда административно-управленческого персонала</v>
      </c>
      <c r="G53" s="1878" t="s">
        <v>554</v>
      </c>
      <c r="H53" s="557"/>
      <c r="I53" s="557"/>
      <c r="J53" s="557"/>
      <c r="K53" s="289" t="str">
        <f>FHD_NOTE_P_17</f>
        <v/>
      </c>
      <c r="L53" s="1636" t="str">
        <f>IF((LEN(E53)-LEN(SUBSTITUTE(E53,".","")))/LEN(".")=1,"p","")</f>
        <v/>
      </c>
      <c r="M53" s="1636"/>
      <c r="N53" s="1642"/>
      <c r="O53" s="537"/>
      <c r="P53" s="537"/>
      <c r="S53" s="1636"/>
      <c r="V53" s="544"/>
      <c r="AB53" s="1632"/>
      <c r="AC53" s="1632"/>
      <c r="AD53" s="1632"/>
      <c r="AE53" s="1632"/>
      <c r="AF53" s="1632"/>
      <c r="AG53" s="1160">
        <v>11</v>
      </c>
    </row>
    <row s="1366" customFormat="1" customHeight="1" ht="11.549999999999999">
      <c r="A54" s="987"/>
      <c r="C54" s="1636"/>
      <c r="D54" s="1638"/>
      <c r="E54" s="546" t="str">
        <f>FHD_NUM_P_18</f>
        <v>2.7.2</v>
      </c>
      <c r="F54" s="1650" t="str">
        <f>FHD_P_18</f>
        <v>Страховые взносы на обязательное социальное страхование, выплачиваемые из фонда оплаты труда административно-управленческого персонала</v>
      </c>
      <c r="G54" s="1878" t="s">
        <v>554</v>
      </c>
      <c r="H54" s="557"/>
      <c r="I54" s="557"/>
      <c r="J54" s="557"/>
      <c r="K54" s="289" t="str">
        <f>FHD_NOTE_P_18</f>
        <v/>
      </c>
      <c r="L54" s="1636" t="str">
        <f>IF((LEN(E54)-LEN(SUBSTITUTE(E54,".","")))/LEN(".")=1,"p","")</f>
        <v/>
      </c>
      <c r="M54" s="1636"/>
      <c r="N54" s="1642"/>
      <c r="O54" s="537"/>
      <c r="P54" s="537"/>
      <c r="S54" s="1636"/>
      <c r="V54" s="544"/>
      <c r="AB54" s="1632"/>
      <c r="AC54" s="1632"/>
      <c r="AD54" s="1632"/>
      <c r="AE54" s="1632"/>
      <c r="AF54" s="1632"/>
      <c r="AG54" s="1160">
        <v>11</v>
      </c>
    </row>
    <row s="1366" customFormat="1" customHeight="1" ht="11.549999999999999">
      <c r="A55" s="987"/>
      <c r="C55" s="1636"/>
      <c r="D55" s="575"/>
      <c r="E55" s="546" t="str">
        <f>FHD_NUM_P_19</f>
        <v>2.8</v>
      </c>
      <c r="F55" s="1524" t="str">
        <f>FHD_P_19</f>
        <v>Расходы на амортизацию основных средств и нематериальных активов</v>
      </c>
      <c r="G55" s="1878" t="s">
        <v>554</v>
      </c>
      <c r="H55" s="557"/>
      <c r="I55" s="557"/>
      <c r="J55" s="557"/>
      <c r="K55" s="289" t="str">
        <f>FHD_NOTE_P_19</f>
        <v/>
      </c>
      <c r="L55" s="1636" t="str">
        <f>IF((LEN(E55)-LEN(SUBSTITUTE(E55,".","")))/LEN(".")=1,"p","")</f>
        <v>p</v>
      </c>
      <c r="M55" s="1636"/>
      <c r="N55" s="1636"/>
      <c r="S55" s="1636"/>
      <c r="V55" s="544"/>
      <c r="AB55" s="1632"/>
      <c r="AC55" s="1632"/>
      <c r="AD55" s="1632"/>
      <c r="AE55" s="1632"/>
      <c r="AF55" s="1632"/>
      <c r="AG55" s="1160">
        <v>11</v>
      </c>
    </row>
    <row s="1366" customFormat="1" customHeight="1" ht="11.549999999999999">
      <c r="A56" s="987"/>
      <c r="C56" s="1636"/>
      <c r="D56" s="575"/>
      <c r="E56" s="546" t="str">
        <f>FHD_NUM_P_20</f>
        <v>2.8.1</v>
      </c>
      <c r="F56" s="1650" t="str">
        <f>FHD_P_20</f>
        <v>Расходы на амортизацию основных средств</v>
      </c>
      <c r="G56" s="1878" t="s">
        <v>554</v>
      </c>
      <c r="H56" s="557"/>
      <c r="I56" s="557"/>
      <c r="J56" s="557"/>
      <c r="K56" s="289" t="str">
        <f>FHD_NOTE_P_20</f>
        <v/>
      </c>
      <c r="L56" s="1636" t="str">
        <f>IF((LEN(E56)-LEN(SUBSTITUTE(E56,".","")))/LEN(".")=1,"p","")</f>
        <v/>
      </c>
      <c r="M56" s="1636"/>
      <c r="N56" s="1636"/>
      <c r="S56" s="1636"/>
      <c r="V56" s="544"/>
      <c r="AB56" s="1632"/>
      <c r="AC56" s="1632"/>
      <c r="AD56" s="1632"/>
      <c r="AE56" s="1632"/>
      <c r="AF56" s="1632"/>
      <c r="AG56" s="1160">
        <v>11</v>
      </c>
    </row>
    <row s="1366" customFormat="1" customHeight="1" ht="11.549999999999999">
      <c r="A57" s="987"/>
      <c r="C57" s="1636"/>
      <c r="D57" s="575"/>
      <c r="E57" s="546" t="str">
        <f>FHD_NUM_P_21</f>
        <v>2.8.2</v>
      </c>
      <c r="F57" s="1650" t="str">
        <f>FHD_P_21</f>
        <v>Расходы на амортизацию нематериальных активов</v>
      </c>
      <c r="G57" s="1878" t="s">
        <v>554</v>
      </c>
      <c r="H57" s="557"/>
      <c r="I57" s="557"/>
      <c r="J57" s="557"/>
      <c r="K57" s="289" t="str">
        <f>FHD_NOTE_P_21</f>
        <v/>
      </c>
      <c r="L57" s="1636" t="str">
        <f>IF((LEN(E57)-LEN(SUBSTITUTE(E57,".","")))/LEN(".")=1,"p","")</f>
        <v/>
      </c>
      <c r="M57" s="1636"/>
      <c r="N57" s="1636"/>
      <c r="S57" s="1636"/>
      <c r="V57" s="544"/>
      <c r="AB57" s="1632"/>
      <c r="AC57" s="1632"/>
      <c r="AD57" s="1632"/>
      <c r="AE57" s="1632"/>
      <c r="AF57" s="1632"/>
      <c r="AG57" s="1160">
        <v>11</v>
      </c>
    </row>
    <row s="1366" customFormat="1" customHeight="1" ht="11.549999999999999">
      <c r="A58" s="987"/>
      <c r="C58" s="1636"/>
      <c r="D58" s="1638"/>
      <c r="E58" s="546" t="str">
        <f>FHD_NUM_P_22</f>
        <v>2.9</v>
      </c>
      <c r="F58" s="1524" t="str">
        <f>FHD_P_22</f>
        <v>Расходы на аренду имущества, используемого для осуществления регулируемого вида деятельности</v>
      </c>
      <c r="G58" s="1878" t="s">
        <v>554</v>
      </c>
      <c r="H58" s="557"/>
      <c r="I58" s="557"/>
      <c r="J58" s="557"/>
      <c r="K58" s="289" t="str">
        <f>FHD_NOTE_P_22</f>
        <v/>
      </c>
      <c r="L58" s="1636" t="str">
        <f>IF((LEN(E58)-LEN(SUBSTITUTE(E58,".","")))/LEN(".")=1,"p","")</f>
        <v>p</v>
      </c>
      <c r="M58" s="1636"/>
      <c r="N58" s="1636"/>
      <c r="S58" s="1636"/>
      <c r="V58" s="544"/>
      <c r="AB58" s="1632"/>
      <c r="AC58" s="1632"/>
      <c r="AD58" s="1632"/>
      <c r="AE58" s="1632"/>
      <c r="AF58" s="1632"/>
      <c r="AG58" s="1160">
        <v>11</v>
      </c>
    </row>
    <row s="1366" customFormat="1" customHeight="1" ht="11.549999999999999">
      <c r="A59" s="987"/>
      <c r="C59" s="1636"/>
      <c r="D59" s="575"/>
      <c r="E59" s="546" t="str">
        <f>FHD_NUM_P_23</f>
        <v>2.10</v>
      </c>
      <c r="F59" s="1524" t="str">
        <f>FHD_P_23</f>
        <v>Общепроизводственные расходы, в том числе:</v>
      </c>
      <c r="G59" s="1878" t="s">
        <v>554</v>
      </c>
      <c r="H59" s="557"/>
      <c r="I59" s="557"/>
      <c r="J59" s="557"/>
      <c r="K59" s="289" t="str">
        <f>FHD_NOTE_P_23</f>
        <v>Указывается общая сумма общепроизводственных расходов.</v>
      </c>
      <c r="L59" s="1636" t="str">
        <f>IF((LEN(E59)-LEN(SUBSTITUTE(E59,".","")))/LEN(".")=1,"p","")</f>
        <v>p</v>
      </c>
      <c r="M59" s="1636"/>
      <c r="N59" s="1636"/>
      <c r="S59" s="1636"/>
      <c r="V59" s="544"/>
      <c r="AB59" s="1632"/>
      <c r="AC59" s="1632"/>
      <c r="AD59" s="1632"/>
      <c r="AE59" s="1632"/>
      <c r="AF59" s="1632"/>
      <c r="AG59" s="1160">
        <v>11</v>
      </c>
    </row>
    <row s="1366" customFormat="1" customHeight="1" ht="11.549999999999999">
      <c r="A60" s="987"/>
      <c r="C60" s="1636"/>
      <c r="D60" s="575"/>
      <c r="E60" s="546" t="str">
        <f>FHD_NUM_P_24</f>
        <v>2.10.1</v>
      </c>
      <c r="F60" s="1650" t="str">
        <f>FHD_P_24</f>
        <v>Расходы на текущий ремонт</v>
      </c>
      <c r="G60" s="1878" t="s">
        <v>554</v>
      </c>
      <c r="H60" s="557"/>
      <c r="I60" s="557"/>
      <c r="J60" s="557"/>
      <c r="K60" s="289" t="str">
        <f>FHD_NOTE_P_24</f>
        <v>Указываются расходы на текущий ремонт, отнесенные к общепроизводственным расходам.</v>
      </c>
      <c r="L60" s="1636" t="str">
        <f>IF((LEN(E60)-LEN(SUBSTITUTE(E60,".","")))/LEN(".")=1,"p","")</f>
        <v/>
      </c>
      <c r="M60" s="1636"/>
      <c r="N60" s="1636"/>
      <c r="S60" s="1636"/>
      <c r="V60" s="544"/>
      <c r="AB60" s="1632"/>
      <c r="AC60" s="1632"/>
      <c r="AD60" s="1632"/>
      <c r="AE60" s="1632"/>
      <c r="AF60" s="1632"/>
      <c r="AG60" s="1160">
        <v>11</v>
      </c>
    </row>
    <row s="1366" customFormat="1" customHeight="1" ht="11.549999999999999">
      <c r="A61" s="987"/>
      <c r="C61" s="1636"/>
      <c r="D61" s="575"/>
      <c r="E61" s="546" t="str">
        <f>FHD_NUM_P_25</f>
        <v>2.10.2</v>
      </c>
      <c r="F61" s="1650" t="str">
        <f>FHD_P_25</f>
        <v>Расходы на капитальный ремонт</v>
      </c>
      <c r="G61" s="1878" t="s">
        <v>554</v>
      </c>
      <c r="H61" s="557"/>
      <c r="I61" s="557"/>
      <c r="J61" s="557"/>
      <c r="K61" s="289" t="str">
        <f>FHD_NOTE_P_25</f>
        <v>Указываются расходы на капитальный ремонт, отнесенные к общепроизводственным расходам.</v>
      </c>
      <c r="L61" s="1636" t="str">
        <f>IF((LEN(E61)-LEN(SUBSTITUTE(E61,".","")))/LEN(".")=1,"p","")</f>
        <v/>
      </c>
      <c r="M61" s="1636"/>
      <c r="N61" s="1636"/>
      <c r="S61" s="1636"/>
      <c r="V61" s="544"/>
      <c r="AB61" s="1632"/>
      <c r="AC61" s="1632"/>
      <c r="AD61" s="1632"/>
      <c r="AE61" s="1632"/>
      <c r="AF61" s="1632"/>
      <c r="AG61" s="1160">
        <v>11</v>
      </c>
    </row>
    <row s="1366" customFormat="1" customHeight="1" ht="11.549999999999999">
      <c r="A62" s="987"/>
      <c r="C62" s="1636"/>
      <c r="D62" s="1638"/>
      <c r="E62" s="546" t="str">
        <f>FHD_NUM_P_26</f>
        <v>2.11</v>
      </c>
      <c r="F62" s="1524" t="str">
        <f>FHD_P_26</f>
        <v>Общехозяйственные расходы, в том числе:</v>
      </c>
      <c r="G62" s="1878" t="s">
        <v>554</v>
      </c>
      <c r="H62" s="557"/>
      <c r="I62" s="557"/>
      <c r="J62" s="557"/>
      <c r="K62" s="289" t="str">
        <f>FHD_NOTE_P_26</f>
        <v>Указывается общая сумма общехозяйственных расходов.</v>
      </c>
      <c r="L62" s="1636" t="str">
        <f>IF((LEN(E62)-LEN(SUBSTITUTE(E62,".","")))/LEN(".")=1,"p","")</f>
        <v>p</v>
      </c>
      <c r="M62" s="1636"/>
      <c r="N62" s="1636"/>
      <c r="S62" s="1636"/>
      <c r="V62" s="544"/>
      <c r="AB62" s="1632"/>
      <c r="AC62" s="1632"/>
      <c r="AD62" s="1632"/>
      <c r="AE62" s="1632"/>
      <c r="AF62" s="1632"/>
      <c r="AG62" s="1160">
        <v>11</v>
      </c>
    </row>
    <row s="1366" customFormat="1" customHeight="1" ht="11.549999999999999">
      <c r="A63" s="987"/>
      <c r="C63" s="1636"/>
      <c r="D63" s="1638"/>
      <c r="E63" s="546" t="str">
        <f>FHD_NUM_P_27</f>
        <v>2.11.1</v>
      </c>
      <c r="F63" s="1650" t="str">
        <f>FHD_P_27</f>
        <v>Расходы на текущий ремонт</v>
      </c>
      <c r="G63" s="1878" t="s">
        <v>554</v>
      </c>
      <c r="H63" s="557"/>
      <c r="I63" s="557"/>
      <c r="J63" s="557"/>
      <c r="K63" s="289" t="str">
        <f>FHD_NOTE_P_27</f>
        <v>Указываются расходы на текущий ремонт, отнесенные к общехозяйственным расходам.</v>
      </c>
      <c r="L63" s="1636" t="str">
        <f>IF((LEN(E63)-LEN(SUBSTITUTE(E63,".","")))/LEN(".")=1,"p","")</f>
        <v/>
      </c>
      <c r="M63" s="1636"/>
      <c r="N63" s="1636"/>
      <c r="S63" s="1636"/>
      <c r="V63" s="544"/>
      <c r="AB63" s="1632"/>
      <c r="AC63" s="1632"/>
      <c r="AD63" s="1632"/>
      <c r="AE63" s="1632"/>
      <c r="AF63" s="1632"/>
      <c r="AG63" s="1160">
        <v>11</v>
      </c>
    </row>
    <row s="1366" customFormat="1" customHeight="1" ht="11.549999999999999">
      <c r="A64" s="987"/>
      <c r="C64" s="1636"/>
      <c r="D64" s="1638"/>
      <c r="E64" s="546" t="str">
        <f>FHD_NUM_P_28</f>
        <v>2.11.2</v>
      </c>
      <c r="F64" s="1650" t="str">
        <f>FHD_P_28</f>
        <v>Расходы на капитальный ремонт</v>
      </c>
      <c r="G64" s="1878" t="s">
        <v>554</v>
      </c>
      <c r="H64" s="557"/>
      <c r="I64" s="557"/>
      <c r="J64" s="557"/>
      <c r="K64" s="289" t="str">
        <f>FHD_NOTE_P_28</f>
        <v>Указываются расходы на капитальный ремонт, отнесенные к общехозяйственным расходам.</v>
      </c>
      <c r="L64" s="1636" t="str">
        <f>IF((LEN(E64)-LEN(SUBSTITUTE(E64,".","")))/LEN(".")=1,"p","")</f>
        <v/>
      </c>
      <c r="M64" s="1636"/>
      <c r="N64" s="1636"/>
      <c r="S64" s="1636"/>
      <c r="V64" s="544"/>
      <c r="AB64" s="1632"/>
      <c r="AC64" s="1632"/>
      <c r="AD64" s="1632"/>
      <c r="AE64" s="1632"/>
      <c r="AF64" s="1632"/>
      <c r="AG64" s="1160">
        <v>11</v>
      </c>
    </row>
    <row s="1366" customFormat="1" customHeight="1" ht="11.549999999999999">
      <c r="A65" s="987"/>
      <c r="C65" s="1636"/>
      <c r="D65" s="1638"/>
      <c r="E65" s="546" t="str">
        <f>FHD_NUM_P_29</f>
        <v>2.12</v>
      </c>
      <c r="F65" s="1524" t="str">
        <f>FHD_P_29</f>
        <v>Расходы на капитальный и текущий ремонт основных средств</v>
      </c>
      <c r="G65" s="1878" t="s">
        <v>554</v>
      </c>
      <c r="H65" s="557"/>
      <c r="I65" s="557"/>
      <c r="J65" s="557"/>
      <c r="K65" s="289" t="str">
        <f>FHD_NOTE_P_29</f>
        <v>Указывается информация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L65" s="1636" t="str">
        <f>IF((LEN(E65)-LEN(SUBSTITUTE(E65,".","")))/LEN(".")=1,"p","")</f>
        <v>p</v>
      </c>
      <c r="M65" s="1636"/>
      <c r="N65" s="1636"/>
      <c r="S65" s="1636"/>
      <c r="V65" s="544"/>
      <c r="AB65" s="1632"/>
      <c r="AC65" s="1632"/>
      <c r="AD65" s="1632"/>
      <c r="AE65" s="1632"/>
      <c r="AF65" s="1632"/>
      <c r="AG65" s="1160">
        <v>11</v>
      </c>
    </row>
    <row s="1366" customFormat="1" customHeight="1" ht="11.549999999999999">
      <c r="A66" s="987"/>
      <c r="C66" s="1636"/>
      <c r="D66" s="1638"/>
      <c r="E66" s="546" t="str">
        <f>FHD_NUM_P_30</f>
        <v>2.12.1</v>
      </c>
      <c r="F66" s="1650" t="str">
        <f>FHD_P_30</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G66" s="1878" t="s">
        <v>308</v>
      </c>
      <c r="H66" s="1649" t="s">
        <v>577</v>
      </c>
      <c r="I66" s="1649" t="s">
        <v>577</v>
      </c>
      <c r="J66" s="2485" t="s">
        <v>577</v>
      </c>
      <c r="K66" s="289" t="str">
        <f>FHD_NOTE_P_30</f>
        <v/>
      </c>
      <c r="L66" s="1636" t="str">
        <f>IF((LEN(E66)-LEN(SUBSTITUTE(E66,".","")))/LEN(".")=1,"p","")</f>
        <v/>
      </c>
      <c r="M66" s="1636">
        <f>_xlfn.IFERROR(MATCH("есть",B_FHD_FLAG_INDEX_1,0),0)</f>
        <v>0</v>
      </c>
      <c r="N66" s="1636"/>
      <c r="S66" s="1636"/>
      <c r="V66" s="544"/>
      <c r="AB66" s="1632"/>
      <c r="AC66" s="1632"/>
      <c r="AD66" s="1632"/>
      <c r="AE66" s="1632"/>
      <c r="AF66" s="1632"/>
      <c r="AG66" s="1160">
        <v>11</v>
      </c>
    </row>
    <row s="1366" customFormat="1" customHeight="1" ht="23.25" hidden="1">
      <c r="A67" s="2371" t="s">
        <v>578</v>
      </c>
      <c r="C67" s="1636"/>
      <c r="D67" s="1638"/>
      <c r="E67" s="546" t="str">
        <f>FHD_NUM_P_31</f>
        <v/>
      </c>
      <c r="F67" s="1524" t="str">
        <f>FHD_P_31</f>
        <v/>
      </c>
      <c r="G67" s="1878" t="s">
        <v>554</v>
      </c>
      <c r="H67" s="557"/>
      <c r="I67" s="557"/>
      <c r="J67" s="557"/>
      <c r="K67" s="289" t="str">
        <f>FHD_NOTE_P_31</f>
        <v/>
      </c>
      <c r="L67" s="1636" t="str">
        <f>IF((LEN(E67)-LEN(SUBSTITUTE(E67,".","")))/LEN(".")=1,"p","")</f>
        <v/>
      </c>
      <c r="M67" s="1636"/>
      <c r="N67" s="1636"/>
      <c r="S67" s="1636"/>
      <c r="V67" s="544"/>
      <c r="AB67" s="1632"/>
      <c r="AC67" s="1632"/>
      <c r="AD67" s="1632"/>
      <c r="AE67" s="1632"/>
      <c r="AF67" s="1632"/>
      <c r="AG67" s="1160">
        <v>22</v>
      </c>
    </row>
    <row s="1366" customFormat="1" customHeight="1" ht="47.25" hidden="1">
      <c r="A68" s="2371"/>
      <c r="C68" s="1636"/>
      <c r="D68" s="1638"/>
      <c r="E68" s="546" t="str">
        <f>FHD_NUM_P_32</f>
        <v/>
      </c>
      <c r="F68" s="1650" t="str">
        <f>FHD_P_32</f>
        <v/>
      </c>
      <c r="G68" s="1878" t="s">
        <v>308</v>
      </c>
      <c r="H68" s="1649" t="s">
        <v>577</v>
      </c>
      <c r="I68" s="1649" t="s">
        <v>577</v>
      </c>
      <c r="J68" s="2485" t="s">
        <v>577</v>
      </c>
      <c r="K68" s="289" t="str">
        <f>FHD_NOTE_P_32</f>
        <v/>
      </c>
      <c r="L68" s="1636" t="str">
        <f>IF((LEN(E68)-LEN(SUBSTITUTE(E68,".","")))/LEN(".")=1,"p","")</f>
        <v/>
      </c>
      <c r="M68" s="1636">
        <f>_xlfn.IFERROR(MATCH("есть",B_FHD_FLAG_INDEX_2,0),0)</f>
        <v>0</v>
      </c>
      <c r="N68" s="1636"/>
      <c r="S68" s="1636"/>
      <c r="V68" s="544"/>
      <c r="AB68" s="1632"/>
      <c r="AC68" s="1632"/>
      <c r="AD68" s="1632"/>
      <c r="AE68" s="1632"/>
      <c r="AF68" s="1632"/>
      <c r="AG68" s="1160">
        <v>45</v>
      </c>
    </row>
    <row s="1366" customFormat="1" customHeight="1" ht="11.549999999999999">
      <c r="A69" s="987"/>
      <c r="C69" s="1636"/>
      <c r="D69" s="1638"/>
      <c r="E69" s="546" t="str">
        <f>FHD_NUM_P_33</f>
        <v>2.13</v>
      </c>
      <c r="F69" s="1524" t="str">
        <f>FHD_P_33</f>
        <v>Прочие расходы, которые подлежат отнесению на регулируемые виды деятельности в соответствии с законодательством Российской Федерации</v>
      </c>
      <c r="G69" s="1879" t="s">
        <v>554</v>
      </c>
      <c r="H69" s="579">
        <f>SUM(H70:H71)</f>
        <v>0</v>
      </c>
      <c r="I69" s="579">
        <f>SUM(I70:I71)</f>
        <v>0</v>
      </c>
      <c r="J69" s="579">
        <f>SUM(J70:J71)</f>
        <v>0</v>
      </c>
      <c r="K69" s="289" t="str">
        <f>FHD_NOTE_P_33</f>
        <v>Указывается общая сумма прочих расходов, которые подлежат отнесению на регулируемые виды деятельности в соответствии с законодательством в сфере теплоснабжения.</v>
      </c>
      <c r="L69" s="1636" t="str">
        <f>IF((LEN(E69)-LEN(SUBSTITUTE(E69,".","")))/LEN(".")=1,"p","")</f>
        <v>p</v>
      </c>
      <c r="M69" s="1636"/>
      <c r="N69" s="1636"/>
      <c r="S69" s="1636"/>
      <c r="V69" s="544"/>
      <c r="AB69" s="1632"/>
      <c r="AC69" s="1632"/>
      <c r="AD69" s="1632"/>
      <c r="AE69" s="1632"/>
      <c r="AF69" s="1632"/>
      <c r="AG69" s="1160">
        <v>11</v>
      </c>
    </row>
    <row s="1642" customFormat="1" customHeight="1" ht="1.05">
      <c r="A70" s="1167"/>
      <c r="D70" s="548"/>
      <c r="E70" s="1013" t="str">
        <f>E69&amp;".0"</f>
        <v>2.13.0</v>
      </c>
      <c r="F70" s="991"/>
      <c r="G70" s="1013"/>
      <c r="H70" s="992"/>
      <c r="I70" s="992"/>
      <c r="J70" s="992"/>
      <c r="K70" s="993"/>
      <c r="L70" s="1636" t="str">
        <f>IF((LEN(E70)-LEN(SUBSTITUTE(E70,".","")))/LEN(".")=1,"p","")</f>
        <v/>
      </c>
      <c r="AG70" s="1636">
        <v>1</v>
      </c>
    </row>
    <row s="1366" customFormat="1" customHeight="1" ht="14.699999999999998">
      <c r="A71" s="987"/>
      <c r="C71" s="1636"/>
      <c r="D71" s="1633"/>
      <c r="E71" s="570"/>
      <c r="F71" s="571" t="s">
        <v>579</v>
      </c>
      <c r="G71" s="572"/>
      <c r="H71" s="573"/>
      <c r="I71" s="573"/>
      <c r="J71" s="2634"/>
      <c r="K71" s="301"/>
      <c r="L71" s="1636"/>
      <c r="M71" s="1636"/>
      <c r="N71" s="1636"/>
      <c r="S71" s="1636"/>
      <c r="V71" s="544"/>
      <c r="AB71" s="1632"/>
      <c r="AC71" s="1632"/>
      <c r="AD71" s="1632"/>
      <c r="AE71" s="1632"/>
      <c r="AF71" s="1632"/>
      <c r="AG71" s="1160">
        <v>14</v>
      </c>
    </row>
    <row s="1366" customFormat="1" customHeight="1" ht="18.75">
      <c r="A72" s="989" t="s">
        <v>580</v>
      </c>
      <c r="C72" s="1636"/>
      <c r="D72" s="1638"/>
      <c r="E72" s="546" t="str">
        <f>FHD_NUM_P_34</f>
        <v>3</v>
      </c>
      <c r="F72" s="1880" t="str">
        <f>FHD_P_34</f>
        <v>Валовая прибыль (убытки) от реализации товаров и оказания услуг по регулируемому виду деятельности</v>
      </c>
      <c r="G72" s="1878" t="s">
        <v>554</v>
      </c>
      <c r="H72" s="557"/>
      <c r="I72" s="557"/>
      <c r="J72" s="557"/>
      <c r="K72" s="289" t="str">
        <f>FHD_NOTE_P_34</f>
        <v/>
      </c>
      <c r="L72" s="543"/>
      <c r="M72" s="1636"/>
      <c r="N72" s="1636"/>
      <c r="S72" s="1636"/>
      <c r="V72" s="544"/>
      <c r="AB72" s="1632"/>
      <c r="AC72" s="1632"/>
      <c r="AD72" s="1632"/>
      <c r="AE72" s="1632"/>
      <c r="AF72" s="1632"/>
      <c r="AG72" s="1160">
        <v>0</v>
      </c>
    </row>
    <row s="1366" customFormat="1" customHeight="1" ht="19.95">
      <c r="A73" s="987"/>
      <c r="C73" s="1636"/>
      <c r="D73" s="575"/>
      <c r="E73" s="546" t="str">
        <f>FHD_NUM_P_35</f>
        <v>4</v>
      </c>
      <c r="F73" s="1880" t="str">
        <f>FHD_P_35</f>
        <v>Чистая прибыль, полученная от регулируемого вида деятельности, в том числе:</v>
      </c>
      <c r="G73" s="1878" t="s">
        <v>554</v>
      </c>
      <c r="H73" s="557"/>
      <c r="I73" s="557"/>
      <c r="J73" s="557"/>
      <c r="K73" s="289" t="str">
        <f>FHD_NOTE_P_35</f>
        <v>Указывается общая сумма чистой прибыли, полученной от регулируемого вида деятельности.</v>
      </c>
      <c r="L73" s="543"/>
      <c r="M73" s="1636"/>
      <c r="N73" s="1636"/>
      <c r="S73" s="1636"/>
      <c r="V73" s="544"/>
      <c r="AB73" s="1632"/>
      <c r="AC73" s="1632"/>
      <c r="AD73" s="1632"/>
      <c r="AE73" s="1632"/>
      <c r="AF73" s="1632"/>
      <c r="AG73" s="1160">
        <v>19</v>
      </c>
    </row>
    <row s="1366" customFormat="1" customHeight="1" ht="19.95">
      <c r="A74" s="987"/>
      <c r="C74" s="1636"/>
      <c r="D74" s="1638"/>
      <c r="E74" s="546" t="str">
        <f>FHD_NUM_P_36</f>
        <v>4.1</v>
      </c>
      <c r="F74" s="1524" t="str">
        <f>FHD_P_36</f>
        <v>Размер расходования чистой прибыли на финансирование мероприятий, предусмотренных инвестиционной программой регулируемой организации</v>
      </c>
      <c r="G74" s="1878" t="s">
        <v>554</v>
      </c>
      <c r="H74" s="557"/>
      <c r="I74" s="557"/>
      <c r="J74" s="557"/>
      <c r="K74" s="289" t="str">
        <f>FHD_NOTE_P_36</f>
        <v/>
      </c>
      <c r="L74" s="543"/>
      <c r="M74" s="1636"/>
      <c r="N74" s="1636"/>
      <c r="S74" s="1636"/>
      <c r="V74" s="544"/>
      <c r="AB74" s="1632"/>
      <c r="AC74" s="1632"/>
      <c r="AD74" s="1632"/>
      <c r="AE74" s="1632"/>
      <c r="AF74" s="1632"/>
      <c r="AG74" s="1160">
        <v>19</v>
      </c>
    </row>
    <row s="1366" customFormat="1" customHeight="1" ht="19.95">
      <c r="A75" s="987"/>
      <c r="C75" s="1636"/>
      <c r="D75" s="1638"/>
      <c r="E75" s="546" t="str">
        <f>FHD_NUM_P_37</f>
        <v>5</v>
      </c>
      <c r="F75" s="1880" t="str">
        <f>FHD_P_37</f>
        <v>Изменение стоимости основных фондов, в том числе:</v>
      </c>
      <c r="G75" s="1878" t="s">
        <v>554</v>
      </c>
      <c r="H75" s="557"/>
      <c r="I75" s="557"/>
      <c r="J75" s="557"/>
      <c r="K75" s="289" t="str">
        <f>FHD_NOTE_P_37</f>
        <v>Указывается общее изменение стоимости основных фондов.</v>
      </c>
      <c r="L75" s="543"/>
      <c r="M75" s="1636"/>
      <c r="N75" s="1636"/>
      <c r="S75" s="1636"/>
      <c r="V75" s="544"/>
      <c r="AB75" s="1632"/>
      <c r="AC75" s="1632"/>
      <c r="AD75" s="1632"/>
      <c r="AE75" s="1632"/>
      <c r="AF75" s="1632"/>
      <c r="AG75" s="1160">
        <v>19</v>
      </c>
    </row>
    <row s="1366" customFormat="1" customHeight="1" ht="19.95">
      <c r="A76" s="987"/>
      <c r="C76" s="1636"/>
      <c r="D76" s="1638"/>
      <c r="E76" s="546" t="str">
        <f>FHD_NUM_P_38</f>
        <v>5.1</v>
      </c>
      <c r="F76" s="1524" t="str">
        <f>FHD_P_38</f>
        <v>Изменение стоимости основных фондов за счет:</v>
      </c>
      <c r="G76" s="1878" t="s">
        <v>554</v>
      </c>
      <c r="H76" s="557"/>
      <c r="I76" s="557"/>
      <c r="J76" s="557"/>
      <c r="K76" s="289" t="str">
        <f>FHD_NOTE_P_38</f>
        <v>Указываются общее изменение стоимости основных фондов за счет их ввода в эксплуатацию и вывода из эксплуатации.</v>
      </c>
      <c r="L76" s="543"/>
      <c r="M76" s="1636"/>
      <c r="N76" s="1636"/>
      <c r="S76" s="1636"/>
      <c r="V76" s="544"/>
      <c r="AB76" s="1632"/>
      <c r="AC76" s="1632"/>
      <c r="AD76" s="1632"/>
      <c r="AE76" s="1632"/>
      <c r="AF76" s="1632"/>
      <c r="AG76" s="1160">
        <v>19</v>
      </c>
    </row>
    <row s="1366" customFormat="1" customHeight="1" ht="19.95">
      <c r="A77" s="987"/>
      <c r="C77" s="1636"/>
      <c r="D77" s="1638"/>
      <c r="E77" s="546" t="str">
        <f>FHD_NUM_P_39</f>
        <v>5.1.1</v>
      </c>
      <c r="F77" s="1650" t="str">
        <f>FHD_P_39</f>
        <v>Изменения стоимости основных фондов за счет их ввода в эксплуатацию</v>
      </c>
      <c r="G77" s="2072" t="s">
        <v>554</v>
      </c>
      <c r="H77" s="557"/>
      <c r="I77" s="557"/>
      <c r="J77" s="557"/>
      <c r="K77" s="289" t="str">
        <f>FHD_NOTE_P_39</f>
        <v>Указываются изменение стоимости основных фондов за счет их ввода в эксплуатацию.</v>
      </c>
      <c r="L77" s="543"/>
      <c r="M77" s="1636"/>
      <c r="N77" s="1636"/>
      <c r="S77" s="1636"/>
      <c r="V77" s="544"/>
      <c r="AB77" s="1632"/>
      <c r="AC77" s="1632"/>
      <c r="AD77" s="1632"/>
      <c r="AE77" s="1632"/>
      <c r="AF77" s="1632"/>
      <c r="AG77" s="1160">
        <v>19</v>
      </c>
    </row>
    <row s="1366" customFormat="1" customHeight="1" ht="19.95">
      <c r="A78" s="987"/>
      <c r="C78" s="1636"/>
      <c r="D78" s="1638"/>
      <c r="E78" s="546" t="str">
        <f>FHD_NUM_P_40</f>
        <v>5.1.2</v>
      </c>
      <c r="F78" s="2076" t="str">
        <f>FHD_P_40</f>
        <v>Изменения стоимости основных фондов за счет их вывода в эксплуатацию</v>
      </c>
      <c r="G78" s="2071" t="s">
        <v>554</v>
      </c>
      <c r="H78" s="976"/>
      <c r="I78" s="557"/>
      <c r="J78" s="976"/>
      <c r="K78" s="289" t="str">
        <f>FHD_NOTE_P_40</f>
        <v>Указываются изменение стоимости основных фондов за счет их вывода из эксплуатации.</v>
      </c>
      <c r="L78" s="543"/>
      <c r="M78" s="1636"/>
      <c r="N78" s="1636"/>
      <c r="S78" s="1636"/>
      <c r="V78" s="544"/>
      <c r="AB78" s="1632"/>
      <c r="AC78" s="1632"/>
      <c r="AD78" s="1632"/>
      <c r="AE78" s="1632"/>
      <c r="AF78" s="1632"/>
      <c r="AG78" s="1160">
        <v>19</v>
      </c>
    </row>
    <row s="1366" customFormat="1" customHeight="1" ht="19.95">
      <c r="A79" s="987"/>
      <c r="C79" s="1636"/>
      <c r="D79" s="1638"/>
      <c r="E79" s="546" t="str">
        <f>FHD_NUM_P_41</f>
        <v>5.2</v>
      </c>
      <c r="F79" s="2075" t="str">
        <f>FHD_P_41</f>
        <v>Изменение стоимости основных фондов за счет их переоценки</v>
      </c>
      <c r="G79" s="2071" t="s">
        <v>554</v>
      </c>
      <c r="H79" s="976"/>
      <c r="I79" s="557"/>
      <c r="J79" s="976"/>
      <c r="K79" s="289" t="str">
        <f>FHD_NOTE_P_41</f>
        <v/>
      </c>
      <c r="L79" s="543"/>
      <c r="M79" s="1636"/>
      <c r="N79" s="1636"/>
      <c r="S79" s="1636"/>
      <c r="V79" s="544"/>
      <c r="AB79" s="1632"/>
      <c r="AC79" s="1632"/>
      <c r="AD79" s="1632"/>
      <c r="AE79" s="1632"/>
      <c r="AF79" s="1632"/>
      <c r="AG79" s="1160">
        <v>19</v>
      </c>
    </row>
    <row s="1366" customFormat="1" customHeight="1" ht="19.95" hidden="1">
      <c r="A80" s="989" t="s">
        <v>581</v>
      </c>
      <c r="C80" s="1636"/>
      <c r="D80" s="1638"/>
      <c r="E80" s="546" t="str">
        <f>FHD_NUM_P_42</f>
        <v/>
      </c>
      <c r="F80" s="2073" t="str">
        <f>FHD_P_42</f>
        <v/>
      </c>
      <c r="G80" s="2071" t="s">
        <v>554</v>
      </c>
      <c r="H80" s="976"/>
      <c r="I80" s="557"/>
      <c r="J80" s="976"/>
      <c r="K80" s="289" t="str">
        <f>FHD_NOTE_P_42</f>
        <v/>
      </c>
      <c r="L80" s="543"/>
      <c r="M80" s="1636"/>
      <c r="N80" s="1636"/>
      <c r="S80" s="1636"/>
      <c r="V80" s="544"/>
      <c r="AB80" s="1632"/>
      <c r="AC80" s="1632"/>
      <c r="AD80" s="1632"/>
      <c r="AE80" s="1632"/>
      <c r="AF80" s="1632"/>
      <c r="AG80" s="1160">
        <v>19</v>
      </c>
    </row>
    <row s="1366" customFormat="1" customHeight="1" ht="19.95">
      <c r="A81" s="987"/>
      <c r="C81" s="1636"/>
      <c r="D81" s="1638"/>
      <c r="E81" s="546" t="str">
        <f>FHD_NUM_P_43</f>
        <v>6</v>
      </c>
      <c r="F81" s="1880" t="str">
        <f>FHD_P_43</f>
        <v>Годовая бухгалтерская (финансовая) отчетность, включая бухгалтерский баланс и приложения к нему</v>
      </c>
      <c r="G81" s="2074" t="s">
        <v>308</v>
      </c>
      <c r="H81" s="1055"/>
      <c r="I81" s="818"/>
      <c r="J81" s="1055"/>
      <c r="K81" s="289" t="str">
        <f>FHD_NOTE_P_43</f>
        <v>Указывается ссылка на документ, предварительно загруженный в хранилище файлов ФГИС ЕИАС.
Регулируемыми организациями информация раскрывается в случае, если выручка от регулируемых видов деятельности превышает 80 процентов совокупной выручки за отчетный год.</v>
      </c>
      <c r="L81" s="543"/>
      <c r="M81" s="1636"/>
      <c r="N81" s="1636"/>
      <c r="S81" s="1636"/>
      <c r="V81" s="544"/>
      <c r="AB81" s="1632"/>
      <c r="AC81" s="1632"/>
      <c r="AD81" s="1632"/>
      <c r="AE81" s="1632"/>
      <c r="AF81" s="1632"/>
      <c r="AG81" s="1160">
        <v>19</v>
      </c>
    </row>
    <row s="1366" customFormat="1" customHeight="1" ht="18.75" hidden="1">
      <c r="A82" s="2371" t="s">
        <v>582</v>
      </c>
      <c r="C82" s="735"/>
      <c r="D82" s="733"/>
      <c r="E82" s="546" t="str">
        <f>FHD_NUM_P_44</f>
        <v/>
      </c>
      <c r="F82" s="1880" t="str">
        <f>FHD_P_44</f>
        <v/>
      </c>
      <c r="G82" s="1881" t="s">
        <v>583</v>
      </c>
      <c r="H82" s="977"/>
      <c r="I82" s="577"/>
      <c r="J82" s="977"/>
      <c r="K82" s="289" t="str">
        <f>FHD_NOTE_P_44</f>
        <v/>
      </c>
      <c r="L82" s="734"/>
      <c r="M82" s="735"/>
      <c r="N82" s="735"/>
      <c r="S82" s="735"/>
      <c r="V82" s="736"/>
      <c r="AB82" s="737"/>
      <c r="AC82" s="737"/>
      <c r="AD82" s="737"/>
      <c r="AE82" s="737"/>
      <c r="AF82" s="737"/>
      <c r="AG82" s="910">
        <v>0</v>
      </c>
    </row>
    <row s="1366" customFormat="1" customHeight="1" ht="18.75" hidden="1">
      <c r="A83" s="2371"/>
      <c r="C83" s="735"/>
      <c r="D83" s="733"/>
      <c r="E83" s="546" t="str">
        <f>FHD_NUM_P_45</f>
        <v/>
      </c>
      <c r="F83" s="1880" t="str">
        <f>FHD_P_45</f>
        <v/>
      </c>
      <c r="G83" s="1881" t="s">
        <v>583</v>
      </c>
      <c r="H83" s="977"/>
      <c r="I83" s="577"/>
      <c r="J83" s="977"/>
      <c r="K83" s="289" t="str">
        <f>FHD_NOTE_P_45</f>
        <v/>
      </c>
      <c r="L83" s="734"/>
      <c r="M83" s="735"/>
      <c r="N83" s="735"/>
      <c r="S83" s="735"/>
      <c r="V83" s="736"/>
      <c r="AB83" s="737"/>
      <c r="AC83" s="737"/>
      <c r="AD83" s="737"/>
      <c r="AE83" s="737"/>
      <c r="AF83" s="737"/>
      <c r="AG83" s="910">
        <v>0</v>
      </c>
    </row>
    <row s="1366" customFormat="1" customHeight="1" ht="18.75" hidden="1">
      <c r="A84" s="2371"/>
      <c r="C84" s="735"/>
      <c r="D84" s="738"/>
      <c r="E84" s="546" t="str">
        <f>FHD_NUM_P_46</f>
        <v/>
      </c>
      <c r="F84" s="1880" t="str">
        <f>FHD_P_46</f>
        <v/>
      </c>
      <c r="G84" s="1881" t="s">
        <v>583</v>
      </c>
      <c r="H84" s="977"/>
      <c r="I84" s="577"/>
      <c r="J84" s="977"/>
      <c r="K84" s="289" t="str">
        <f>FHD_NOTE_P_46</f>
        <v/>
      </c>
      <c r="L84" s="734"/>
      <c r="M84" s="735"/>
      <c r="N84" s="735"/>
      <c r="S84" s="735"/>
      <c r="V84" s="736"/>
      <c r="AB84" s="737"/>
      <c r="AC84" s="737"/>
      <c r="AD84" s="737"/>
      <c r="AE84" s="737"/>
      <c r="AF84" s="737"/>
      <c r="AG84" s="910">
        <v>0</v>
      </c>
    </row>
    <row s="1366" customFormat="1" customHeight="1" ht="18.75" hidden="1">
      <c r="A85" s="2371"/>
      <c r="C85" s="735"/>
      <c r="D85" s="733"/>
      <c r="E85" s="546" t="str">
        <f>FHD_NUM_P_47</f>
        <v/>
      </c>
      <c r="F85" s="1880" t="str">
        <f>FHD_P_47</f>
        <v/>
      </c>
      <c r="G85" s="1881" t="s">
        <v>583</v>
      </c>
      <c r="H85" s="977"/>
      <c r="I85" s="577"/>
      <c r="J85" s="977"/>
      <c r="K85" s="289" t="str">
        <f>FHD_NOTE_P_47</f>
        <v/>
      </c>
      <c r="L85" s="734"/>
      <c r="M85" s="735"/>
      <c r="N85" s="735"/>
      <c r="S85" s="735"/>
      <c r="V85" s="736"/>
      <c r="AB85" s="737"/>
      <c r="AC85" s="737"/>
      <c r="AD85" s="737"/>
      <c r="AE85" s="737"/>
      <c r="AF85" s="737"/>
      <c r="AG85" s="910">
        <v>0</v>
      </c>
    </row>
    <row s="1635" customFormat="1" customHeight="1" ht="18.75" hidden="1">
      <c r="A86" s="2371"/>
      <c r="B86" s="910"/>
      <c r="C86" s="735"/>
      <c r="D86" s="733"/>
      <c r="E86" s="546" t="str">
        <f>FHD_NUM_P_48</f>
        <v/>
      </c>
      <c r="F86" s="1880" t="str">
        <f>FHD_P_48</f>
        <v/>
      </c>
      <c r="G86" s="1881" t="s">
        <v>583</v>
      </c>
      <c r="H86" s="977"/>
      <c r="I86" s="577"/>
      <c r="J86" s="977"/>
      <c r="K86" s="289" t="str">
        <f>FHD_NOTE_P_48</f>
        <v/>
      </c>
      <c r="L86" s="734"/>
      <c r="M86" s="735"/>
      <c r="N86" s="735"/>
      <c r="O86" s="910"/>
      <c r="P86" s="910"/>
      <c r="Q86" s="910"/>
      <c r="R86" s="910"/>
      <c r="S86" s="735"/>
      <c r="T86" s="910"/>
      <c r="U86" s="910"/>
      <c r="V86" s="736"/>
      <c r="W86" s="910"/>
      <c r="X86" s="910"/>
      <c r="Y86" s="910"/>
      <c r="Z86" s="910"/>
      <c r="AA86" s="910"/>
      <c r="AB86" s="737"/>
      <c r="AC86" s="737"/>
      <c r="AD86" s="737"/>
      <c r="AE86" s="737"/>
      <c r="AF86" s="737"/>
      <c r="AG86" s="739">
        <v>0</v>
      </c>
    </row>
    <row s="1635" customFormat="1" customHeight="1" ht="18.75" hidden="1">
      <c r="A87" s="2371"/>
      <c r="B87" s="910"/>
      <c r="C87" s="735"/>
      <c r="D87" s="733"/>
      <c r="E87" s="546" t="str">
        <f>FHD_NUM_P_49</f>
        <v/>
      </c>
      <c r="F87" s="1880" t="str">
        <f>FHD_P_49</f>
        <v/>
      </c>
      <c r="G87" s="1881" t="s">
        <v>583</v>
      </c>
      <c r="H87" s="978">
        <f>SUM(H88:H89)</f>
        <v>0</v>
      </c>
      <c r="I87" s="749">
        <f>SUM(I88:I89)</f>
        <v>0</v>
      </c>
      <c r="J87" s="978">
        <f>SUM(J88:J89)</f>
        <v>0</v>
      </c>
      <c r="K87" s="289" t="str">
        <f>FHD_NOTE_P_49</f>
        <v/>
      </c>
      <c r="L87" s="734"/>
      <c r="M87" s="735"/>
      <c r="N87" s="735"/>
      <c r="O87" s="910"/>
      <c r="P87" s="910"/>
      <c r="Q87" s="910"/>
      <c r="R87" s="910"/>
      <c r="S87" s="735"/>
      <c r="T87" s="910"/>
      <c r="U87" s="910"/>
      <c r="V87" s="736"/>
      <c r="W87" s="910"/>
      <c r="X87" s="910"/>
      <c r="Y87" s="910"/>
      <c r="Z87" s="910"/>
      <c r="AA87" s="910"/>
      <c r="AB87" s="737"/>
      <c r="AC87" s="737"/>
      <c r="AD87" s="737"/>
      <c r="AE87" s="737"/>
      <c r="AF87" s="737"/>
      <c r="AG87" s="739">
        <v>0</v>
      </c>
    </row>
    <row s="1635" customFormat="1" customHeight="1" ht="18.75" hidden="1">
      <c r="A88" s="2371"/>
      <c r="B88" s="910"/>
      <c r="C88" s="735"/>
      <c r="D88" s="733"/>
      <c r="E88" s="546" t="str">
        <f>FHD_NUM_P_50</f>
        <v/>
      </c>
      <c r="F88" s="1880" t="str">
        <f>FHD_P_50</f>
        <v/>
      </c>
      <c r="G88" s="1881" t="s">
        <v>583</v>
      </c>
      <c r="H88" s="977"/>
      <c r="I88" s="577"/>
      <c r="J88" s="977"/>
      <c r="K88" s="289" t="str">
        <f>FHD_NOTE_P_50</f>
        <v/>
      </c>
      <c r="L88" s="734"/>
      <c r="M88" s="735"/>
      <c r="N88" s="735"/>
      <c r="O88" s="910"/>
      <c r="P88" s="910"/>
      <c r="Q88" s="910"/>
      <c r="R88" s="910"/>
      <c r="S88" s="735"/>
      <c r="T88" s="910"/>
      <c r="U88" s="910"/>
      <c r="V88" s="736"/>
      <c r="W88" s="910"/>
      <c r="X88" s="910"/>
      <c r="Y88" s="910"/>
      <c r="Z88" s="910"/>
      <c r="AA88" s="910"/>
      <c r="AB88" s="737"/>
      <c r="AC88" s="737"/>
      <c r="AD88" s="737"/>
      <c r="AE88" s="737"/>
      <c r="AF88" s="737"/>
      <c r="AG88" s="739">
        <v>0</v>
      </c>
    </row>
    <row s="1635" customFormat="1" customHeight="1" ht="18.75" hidden="1">
      <c r="A89" s="2371"/>
      <c r="B89" s="910"/>
      <c r="C89" s="735"/>
      <c r="D89" s="733"/>
      <c r="E89" s="546" t="str">
        <f>FHD_NUM_P_51</f>
        <v/>
      </c>
      <c r="F89" s="1880" t="str">
        <f>FHD_P_51</f>
        <v/>
      </c>
      <c r="G89" s="1881" t="s">
        <v>583</v>
      </c>
      <c r="H89" s="977"/>
      <c r="I89" s="577"/>
      <c r="J89" s="977"/>
      <c r="K89" s="289" t="str">
        <f>FHD_NOTE_P_51</f>
        <v/>
      </c>
      <c r="L89" s="734"/>
      <c r="M89" s="735"/>
      <c r="N89" s="735"/>
      <c r="O89" s="910"/>
      <c r="P89" s="910"/>
      <c r="Q89" s="910"/>
      <c r="R89" s="910"/>
      <c r="S89" s="735"/>
      <c r="T89" s="910"/>
      <c r="U89" s="910"/>
      <c r="V89" s="736"/>
      <c r="W89" s="910"/>
      <c r="X89" s="910"/>
      <c r="Y89" s="910"/>
      <c r="Z89" s="910"/>
      <c r="AA89" s="910"/>
      <c r="AB89" s="737"/>
      <c r="AC89" s="737"/>
      <c r="AD89" s="737"/>
      <c r="AE89" s="737"/>
      <c r="AF89" s="737"/>
      <c r="AG89" s="739">
        <v>0</v>
      </c>
    </row>
    <row s="1635" customFormat="1" customHeight="1" ht="18.75" hidden="1">
      <c r="A90" s="2371"/>
      <c r="B90" s="910"/>
      <c r="C90" s="735"/>
      <c r="D90" s="733"/>
      <c r="E90" s="546" t="str">
        <f>FHD_NUM_P_52</f>
        <v/>
      </c>
      <c r="F90" s="1880" t="str">
        <f>FHD_P_52</f>
        <v/>
      </c>
      <c r="G90" s="1881" t="s">
        <v>560</v>
      </c>
      <c r="H90" s="976"/>
      <c r="I90" s="557"/>
      <c r="J90" s="976"/>
      <c r="K90" s="289" t="str">
        <f>FHD_NOTE_P_52</f>
        <v/>
      </c>
      <c r="L90" s="734"/>
      <c r="M90" s="735"/>
      <c r="N90" s="735"/>
      <c r="O90" s="910"/>
      <c r="P90" s="910"/>
      <c r="Q90" s="910"/>
      <c r="R90" s="910"/>
      <c r="S90" s="735"/>
      <c r="T90" s="910"/>
      <c r="U90" s="910"/>
      <c r="V90" s="736"/>
      <c r="W90" s="910"/>
      <c r="X90" s="910"/>
      <c r="Y90" s="910"/>
      <c r="Z90" s="910"/>
      <c r="AA90" s="910"/>
      <c r="AB90" s="737"/>
      <c r="AC90" s="737"/>
      <c r="AD90" s="737"/>
      <c r="AE90" s="737"/>
      <c r="AF90" s="737"/>
      <c r="AG90" s="739">
        <v>0</v>
      </c>
    </row>
    <row s="1366" customFormat="1" customHeight="1" ht="18.75" hidden="1">
      <c r="A91" s="2373" t="s">
        <v>584</v>
      </c>
      <c r="C91" s="735"/>
      <c r="D91" s="733"/>
      <c r="E91" s="546" t="str">
        <f>FHD_NUM_P_53</f>
        <v/>
      </c>
      <c r="F91" s="1880" t="str">
        <f>FHD_P_53</f>
        <v/>
      </c>
      <c r="G91" s="1881" t="s">
        <v>583</v>
      </c>
      <c r="H91" s="977"/>
      <c r="I91" s="577"/>
      <c r="J91" s="977"/>
      <c r="K91" s="289" t="str">
        <f>FHD_NOTE_P_53</f>
        <v/>
      </c>
      <c r="L91" s="734"/>
      <c r="M91" s="735"/>
      <c r="N91" s="735"/>
      <c r="S91" s="735"/>
      <c r="V91" s="736"/>
      <c r="AB91" s="737"/>
      <c r="AC91" s="737"/>
      <c r="AD91" s="737"/>
      <c r="AE91" s="737"/>
      <c r="AF91" s="737"/>
      <c r="AG91" s="910">
        <v>0</v>
      </c>
    </row>
    <row s="1366" customFormat="1" customHeight="1" ht="18.75" hidden="1">
      <c r="A92" s="2373"/>
      <c r="C92" s="735"/>
      <c r="D92" s="733"/>
      <c r="E92" s="546" t="str">
        <f>FHD_NUM_P_54</f>
        <v/>
      </c>
      <c r="F92" s="1880" t="str">
        <f>FHD_P_54</f>
        <v/>
      </c>
      <c r="G92" s="1881" t="s">
        <v>583</v>
      </c>
      <c r="H92" s="977"/>
      <c r="I92" s="577"/>
      <c r="J92" s="977"/>
      <c r="K92" s="289" t="str">
        <f>FHD_NOTE_P_54</f>
        <v/>
      </c>
      <c r="L92" s="734"/>
      <c r="M92" s="735"/>
      <c r="N92" s="735"/>
      <c r="S92" s="735"/>
      <c r="V92" s="736"/>
      <c r="AB92" s="737"/>
      <c r="AC92" s="737"/>
      <c r="AD92" s="737"/>
      <c r="AE92" s="737"/>
      <c r="AF92" s="737"/>
      <c r="AG92" s="910">
        <v>0</v>
      </c>
    </row>
    <row s="1366" customFormat="1" customHeight="1" ht="18.75" hidden="1">
      <c r="A93" s="2373"/>
      <c r="C93" s="735"/>
      <c r="D93" s="738"/>
      <c r="E93" s="546" t="str">
        <f>FHD_NUM_P_55</f>
        <v/>
      </c>
      <c r="F93" s="1880" t="str">
        <f>FHD_P_55</f>
        <v/>
      </c>
      <c r="G93" s="1884"/>
      <c r="H93" s="977"/>
      <c r="I93" s="577"/>
      <c r="J93" s="977"/>
      <c r="K93" s="289" t="str">
        <f>FHD_NOTE_P_55</f>
        <v/>
      </c>
      <c r="L93" s="734"/>
      <c r="M93" s="735"/>
      <c r="N93" s="735"/>
      <c r="S93" s="735"/>
      <c r="V93" s="736"/>
      <c r="AB93" s="737"/>
      <c r="AC93" s="737"/>
      <c r="AD93" s="737"/>
      <c r="AE93" s="737"/>
      <c r="AF93" s="737"/>
      <c r="AG93" s="910">
        <v>0</v>
      </c>
    </row>
    <row s="1366" customFormat="1" customHeight="1" ht="18.75" hidden="1">
      <c r="A94" s="2373"/>
      <c r="C94" s="735"/>
      <c r="D94" s="733"/>
      <c r="E94" s="546" t="str">
        <f>FHD_NUM_P_56</f>
        <v/>
      </c>
      <c r="F94" s="1880" t="str">
        <f>FHD_P_56</f>
        <v/>
      </c>
      <c r="G94" s="1881" t="s">
        <v>585</v>
      </c>
      <c r="H94" s="977"/>
      <c r="I94" s="577"/>
      <c r="J94" s="977"/>
      <c r="K94" s="289" t="str">
        <f>FHD_NOTE_P_56</f>
        <v/>
      </c>
      <c r="L94" s="734"/>
      <c r="M94" s="735"/>
      <c r="N94" s="735"/>
      <c r="S94" s="735"/>
      <c r="V94" s="736"/>
      <c r="AB94" s="737"/>
      <c r="AC94" s="737"/>
      <c r="AD94" s="737"/>
      <c r="AE94" s="737"/>
      <c r="AF94" s="737"/>
      <c r="AG94" s="910">
        <v>0</v>
      </c>
    </row>
    <row s="1635" customFormat="1" customHeight="1" ht="18.75" hidden="1">
      <c r="A95" s="2373"/>
      <c r="B95" s="910"/>
      <c r="C95" s="735"/>
      <c r="D95" s="733"/>
      <c r="E95" s="546" t="str">
        <f>FHD_NUM_P_57</f>
        <v/>
      </c>
      <c r="F95" s="1880" t="str">
        <f>FHD_P_57</f>
        <v/>
      </c>
      <c r="G95" s="1881" t="s">
        <v>560</v>
      </c>
      <c r="H95" s="976"/>
      <c r="I95" s="557"/>
      <c r="J95" s="976"/>
      <c r="K95" s="289" t="str">
        <f>FHD_NOTE_P_57</f>
        <v/>
      </c>
      <c r="L95" s="734"/>
      <c r="M95" s="735"/>
      <c r="N95" s="735"/>
      <c r="O95" s="910"/>
      <c r="P95" s="910"/>
      <c r="Q95" s="910"/>
      <c r="R95" s="910"/>
      <c r="S95" s="735"/>
      <c r="T95" s="910"/>
      <c r="U95" s="910"/>
      <c r="V95" s="736"/>
      <c r="W95" s="910"/>
      <c r="X95" s="910"/>
      <c r="Y95" s="910"/>
      <c r="Z95" s="910"/>
      <c r="AA95" s="910"/>
      <c r="AB95" s="737"/>
      <c r="AC95" s="737"/>
      <c r="AD95" s="737"/>
      <c r="AE95" s="737"/>
      <c r="AF95" s="737"/>
      <c r="AG95" s="739">
        <v>0</v>
      </c>
    </row>
    <row customHeight="1" ht="18.75" hidden="1">
      <c r="A96" s="2371" t="s">
        <v>586</v>
      </c>
      <c r="D96" s="1638"/>
      <c r="E96" s="546" t="str">
        <f>FHD_NUM_P_58</f>
        <v/>
      </c>
      <c r="F96" s="1880" t="str">
        <f>FHD_P_58</f>
        <v/>
      </c>
      <c r="G96" s="1881" t="s">
        <v>583</v>
      </c>
      <c r="H96" s="977"/>
      <c r="I96" s="577"/>
      <c r="J96" s="977"/>
      <c r="K96" s="289" t="str">
        <f>FHD_NOTE_P_58</f>
        <v/>
      </c>
      <c r="L96" s="543"/>
      <c r="AG96" s="1631">
        <v>0</v>
      </c>
    </row>
    <row customHeight="1" ht="18.75" hidden="1">
      <c r="A97" s="2371"/>
      <c r="D97" s="1638"/>
      <c r="E97" s="546" t="str">
        <f>FHD_NUM_P_59</f>
        <v/>
      </c>
      <c r="F97" s="1880" t="str">
        <f>FHD_P_59</f>
        <v/>
      </c>
      <c r="G97" s="1881" t="s">
        <v>583</v>
      </c>
      <c r="H97" s="977"/>
      <c r="I97" s="577"/>
      <c r="J97" s="977"/>
      <c r="K97" s="289" t="str">
        <f>FHD_NOTE_P_59</f>
        <v/>
      </c>
      <c r="L97" s="543"/>
      <c r="AG97" s="1631">
        <v>0</v>
      </c>
    </row>
    <row customHeight="1" ht="18.75" hidden="1">
      <c r="A98" s="2371"/>
      <c r="D98" s="1638"/>
      <c r="E98" s="546" t="str">
        <f>FHD_NUM_P_60</f>
        <v/>
      </c>
      <c r="F98" s="1880" t="str">
        <f>FHD_P_60</f>
        <v/>
      </c>
      <c r="G98" s="1881" t="s">
        <v>583</v>
      </c>
      <c r="H98" s="977"/>
      <c r="I98" s="577"/>
      <c r="J98" s="977"/>
      <c r="K98" s="289" t="str">
        <f>FHD_NOTE_P_60</f>
        <v/>
      </c>
      <c r="L98" s="543"/>
      <c r="AG98" s="1631">
        <v>0</v>
      </c>
    </row>
    <row s="1366" customFormat="1" customHeight="1" ht="18.75">
      <c r="A99" s="2371" t="s">
        <v>587</v>
      </c>
      <c r="C99" s="1636"/>
      <c r="D99" s="1638"/>
      <c r="E99" s="546" t="str">
        <f>FHD_NUM_P_61</f>
        <v>7</v>
      </c>
      <c r="F99" s="1880" t="str">
        <f>FHD_P_61</f>
        <v>Установленная тепловая мощность объектов основных фондов, используемых для теплоснабжения, в том числе по каждому источнику тепловой энергии</v>
      </c>
      <c r="G99" s="1878" t="s">
        <v>558</v>
      </c>
      <c r="H99" s="979"/>
      <c r="I99" s="742"/>
      <c r="J99" s="979"/>
      <c r="K99" s="289" t="str">
        <f>FHD_NOTE_P_61</f>
        <v>Указывается суммарная установленная тепловая мощность объектов основных фондов, используемых для осуществления теплоснабжения.
Регулируемыми организациями указывается информация по объектам, используемым для осуществления регулируемых видов деятельности.</v>
      </c>
      <c r="L99" s="543"/>
      <c r="M99" s="1636"/>
      <c r="N99" s="1636"/>
      <c r="S99" s="1636"/>
      <c r="V99" s="544"/>
      <c r="AB99" s="1632"/>
      <c r="AC99" s="1632"/>
      <c r="AD99" s="1632"/>
      <c r="AE99" s="1632"/>
      <c r="AF99" s="1632"/>
      <c r="AG99" s="1160">
        <v>0</v>
      </c>
    </row>
    <row s="1642" customFormat="1" customHeight="1" ht="0.75">
      <c r="A100" s="2371"/>
      <c r="D100" s="548"/>
      <c r="E100" s="1013" t="str">
        <f>E99&amp;".0"</f>
        <v>7.0</v>
      </c>
      <c r="F100" s="994"/>
      <c r="G100" s="995"/>
      <c r="H100" s="992"/>
      <c r="I100" s="992"/>
      <c r="J100" s="992"/>
      <c r="K100" s="996"/>
      <c r="AG100" s="1636">
        <v>0</v>
      </c>
    </row>
    <row customHeight="1" ht="15">
      <c r="A101" s="2371"/>
      <c r="D101" s="1633"/>
      <c r="E101" s="971"/>
      <c r="F101" s="972" t="s">
        <v>588</v>
      </c>
      <c r="G101" s="572"/>
      <c r="H101" s="573"/>
      <c r="I101" s="573"/>
      <c r="J101" s="2635"/>
      <c r="K101" s="1004" t="s">
        <v>589</v>
      </c>
      <c r="L101" s="543"/>
      <c r="AG101" s="1631">
        <v>0</v>
      </c>
    </row>
    <row s="1366" customFormat="1" customHeight="1" ht="18.75">
      <c r="A102" s="2371"/>
      <c r="C102" s="1636"/>
      <c r="D102" s="1638"/>
      <c r="E102" s="546" t="str">
        <f>FHD_NUM_P_62</f>
        <v>8</v>
      </c>
      <c r="F102" s="1880" t="str">
        <f>FHD_P_62</f>
        <v>Тепловая нагрузка по договорам, заключенным в рамках осуществления регулируемых видов деятельности</v>
      </c>
      <c r="G102" s="1877" t="s">
        <v>558</v>
      </c>
      <c r="H102" s="557"/>
      <c r="I102" s="557"/>
      <c r="J102" s="557"/>
      <c r="K102" s="289" t="str">
        <f>FHD_NOTE_P_62</f>
        <v>Регулируемыми организациями указывается информация по договорам, заключенным в рамках осуществления регулируемых видов деятельности</v>
      </c>
      <c r="L102" s="543"/>
      <c r="M102" s="1636"/>
      <c r="N102" s="1636"/>
      <c r="S102" s="1636"/>
      <c r="V102" s="544"/>
      <c r="AB102" s="1632"/>
      <c r="AC102" s="1632"/>
      <c r="AD102" s="1632"/>
      <c r="AE102" s="1632"/>
      <c r="AF102" s="1632"/>
      <c r="AG102" s="1160">
        <v>0</v>
      </c>
    </row>
    <row s="1366" customFormat="1" customHeight="1" ht="18.75">
      <c r="A103" s="2371"/>
      <c r="C103" s="1636"/>
      <c r="D103" s="1638"/>
      <c r="E103" s="546" t="str">
        <f>FHD_NUM_P_63</f>
        <v>9</v>
      </c>
      <c r="F103" s="1880" t="str">
        <f>FHD_P_63</f>
        <v>Объем вырабатываемой регулируемой организацией тепловой энергии в рамках осуществления регулируемых видов деятельности</v>
      </c>
      <c r="G103" s="1877" t="s">
        <v>585</v>
      </c>
      <c r="H103" s="577"/>
      <c r="I103" s="577"/>
      <c r="J103" s="577"/>
      <c r="K103" s="289" t="str">
        <f>FHD_NOTE_P_63</f>
        <v>Регулируемыми организациями указывается информация тепловой энергии, выработанной в рамках осуществления регулируемых видов деятельности.</v>
      </c>
      <c r="L103" s="543"/>
      <c r="M103" s="1636"/>
      <c r="N103" s="1636"/>
      <c r="S103" s="1636"/>
      <c r="V103" s="544"/>
      <c r="AB103" s="1632"/>
      <c r="AC103" s="1632"/>
      <c r="AD103" s="1632"/>
      <c r="AE103" s="1632"/>
      <c r="AF103" s="1632"/>
      <c r="AG103" s="1160">
        <v>0</v>
      </c>
    </row>
    <row s="1366" customFormat="1" customHeight="1" ht="18.75">
      <c r="A104" s="2371"/>
      <c r="C104" s="1636" t="s">
        <v>590</v>
      </c>
      <c r="D104" s="1638"/>
      <c r="E104" s="546" t="str">
        <f>FHD_NUM_P_64</f>
        <v>9.1</v>
      </c>
      <c r="F104" s="1880" t="str">
        <f>FHD_P_64</f>
        <v>Объем приобретаемой регулируемой организацией тепловой энергии в рамках осуществления регулируемых видов деятельности</v>
      </c>
      <c r="G104" s="1877" t="s">
        <v>585</v>
      </c>
      <c r="H104" s="545"/>
      <c r="I104" s="545"/>
      <c r="J104" s="545"/>
      <c r="K104" s="289" t="str">
        <f>FHD_NOTE_P_64</f>
        <v>Информация указывается только едиными теплоснабжающими организациями.</v>
      </c>
      <c r="L104" s="543"/>
      <c r="M104" s="1636"/>
      <c r="N104" s="1636"/>
      <c r="S104" s="1636"/>
      <c r="V104" s="544"/>
      <c r="AB104" s="1632"/>
      <c r="AC104" s="1632"/>
      <c r="AD104" s="1632"/>
      <c r="AE104" s="1632"/>
      <c r="AF104" s="1632"/>
      <c r="AG104" s="1160">
        <v>0</v>
      </c>
    </row>
    <row s="1366" customFormat="1" customHeight="1" ht="18.75">
      <c r="A105" s="2371"/>
      <c r="C105" s="1636"/>
      <c r="D105" s="1638"/>
      <c r="E105" s="546" t="str">
        <f>FHD_NUM_P_65</f>
        <v>10</v>
      </c>
      <c r="F105" s="1880" t="str">
        <f>FHD_P_65</f>
        <v>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v>
      </c>
      <c r="G105" s="1877" t="s">
        <v>585</v>
      </c>
      <c r="H105" s="577"/>
      <c r="I105" s="577"/>
      <c r="J105" s="577"/>
      <c r="K105" s="289" t="str">
        <f>FHD_NOTE_P_65</f>
        <v>Указывается общий объем тепловой энергии, отпускаемой потребителям.
Регулируемыми организациями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v>
      </c>
      <c r="L105" s="543"/>
      <c r="M105" s="1636"/>
      <c r="N105" s="1636"/>
      <c r="S105" s="1636"/>
      <c r="V105" s="544"/>
      <c r="AB105" s="1632"/>
      <c r="AC105" s="1632"/>
      <c r="AD105" s="1632"/>
      <c r="AE105" s="1632"/>
      <c r="AF105" s="1632"/>
      <c r="AG105" s="1160">
        <v>0</v>
      </c>
    </row>
    <row s="1366" customFormat="1" customHeight="1" ht="18.75">
      <c r="A106" s="2371"/>
      <c r="C106" s="1636"/>
      <c r="D106" s="1638"/>
      <c r="E106" s="546" t="str">
        <f>FHD_NUM_P_66</f>
        <v>10.1</v>
      </c>
      <c r="F106" s="1524" t="str">
        <f>FHD_P_66</f>
        <v>По приборам учёта </v>
      </c>
      <c r="G106" s="1877" t="s">
        <v>585</v>
      </c>
      <c r="H106" s="577"/>
      <c r="I106" s="577"/>
      <c r="J106" s="577"/>
      <c r="K106" s="289" t="str">
        <f>FHD_NOTE_P_66</f>
        <v/>
      </c>
      <c r="L106" s="543"/>
      <c r="M106" s="1636"/>
      <c r="N106" s="1636"/>
      <c r="S106" s="1636"/>
      <c r="V106" s="544"/>
      <c r="AB106" s="1632"/>
      <c r="AC106" s="1632"/>
      <c r="AD106" s="1632"/>
      <c r="AE106" s="1632"/>
      <c r="AF106" s="1632"/>
      <c r="AG106" s="1160">
        <v>0</v>
      </c>
    </row>
    <row s="1366" customFormat="1" customHeight="1" ht="18.75">
      <c r="A107" s="2371"/>
      <c r="C107" s="1636"/>
      <c r="D107" s="1638"/>
      <c r="E107" s="546" t="str">
        <f>FHD_NUM_P_67</f>
        <v>10.1.1</v>
      </c>
      <c r="F107" s="1650" t="str">
        <f>FHD_P_67</f>
        <v>Определенный по приборам учета объем тепловой энергии, отпускаемой по договорам потребителям, максимальный объем потребления тепловой энергии объектов которых составляет менее чем 0,2 Гкал</v>
      </c>
      <c r="G107" s="1877" t="s">
        <v>585</v>
      </c>
      <c r="H107" s="577"/>
      <c r="I107" s="577"/>
      <c r="J107" s="577"/>
      <c r="K107" s="289" t="str">
        <f>FHD_NOTE_P_67</f>
        <v/>
      </c>
      <c r="L107" s="543"/>
      <c r="M107" s="1636"/>
      <c r="N107" s="1636"/>
      <c r="S107" s="1636"/>
      <c r="V107" s="544"/>
      <c r="AB107" s="1632"/>
      <c r="AC107" s="1632"/>
      <c r="AD107" s="1632"/>
      <c r="AE107" s="1632"/>
      <c r="AF107" s="1632"/>
      <c r="AG107" s="1160">
        <v>0</v>
      </c>
    </row>
    <row s="1366" customFormat="1" customHeight="1" ht="18.75">
      <c r="A108" s="2371"/>
      <c r="C108" s="1636"/>
      <c r="D108" s="1638"/>
      <c r="E108" s="546" t="str">
        <f>FHD_NUM_P_68</f>
        <v>10.2</v>
      </c>
      <c r="F108" s="1524" t="str">
        <f>FHD_P_68</f>
        <v>Расчётным путём</v>
      </c>
      <c r="G108" s="1877" t="s">
        <v>585</v>
      </c>
      <c r="H108" s="577"/>
      <c r="I108" s="577"/>
      <c r="J108" s="577"/>
      <c r="K108" s="289" t="str">
        <f>FHD_NOTE_P_68</f>
        <v/>
      </c>
      <c r="L108" s="543"/>
      <c r="M108" s="1636"/>
      <c r="N108" s="1636"/>
      <c r="S108" s="1636"/>
      <c r="V108" s="544"/>
      <c r="AB108" s="1632"/>
      <c r="AC108" s="1632"/>
      <c r="AD108" s="1632"/>
      <c r="AE108" s="1632"/>
      <c r="AF108" s="1632"/>
      <c r="AG108" s="1160">
        <v>0</v>
      </c>
    </row>
    <row s="1366" customFormat="1" customHeight="1" ht="18.75">
      <c r="A109" s="2371"/>
      <c r="C109" s="1636"/>
      <c r="D109" s="1638"/>
      <c r="E109" s="546" t="str">
        <f>FHD_NUM_P_69</f>
        <v>10.3</v>
      </c>
      <c r="F109" s="1524" t="str">
        <f>FHD_P_69</f>
        <v>По нормативам потребления коммунальных услуг и нормативам потребления коммунальных ресурсов</v>
      </c>
      <c r="G109" s="1877" t="s">
        <v>585</v>
      </c>
      <c r="H109" s="577"/>
      <c r="I109" s="577"/>
      <c r="J109" s="577"/>
      <c r="K109" s="289" t="str">
        <f>FHD_NOTE_P_69</f>
        <v/>
      </c>
      <c r="L109" s="543"/>
      <c r="M109" s="1636"/>
      <c r="N109" s="1636"/>
      <c r="S109" s="1636"/>
      <c r="V109" s="544"/>
      <c r="AB109" s="1632"/>
      <c r="AC109" s="1632"/>
      <c r="AD109" s="1632"/>
      <c r="AE109" s="1632"/>
      <c r="AF109" s="1632"/>
      <c r="AG109" s="1160">
        <v>0</v>
      </c>
    </row>
    <row s="1366" customFormat="1" customHeight="1" ht="22.5">
      <c r="A110" s="2371"/>
      <c r="C110" s="1636"/>
      <c r="D110" s="1638"/>
      <c r="E110" s="546" t="str">
        <f>FHD_NUM_P_70</f>
        <v>11</v>
      </c>
      <c r="F110" s="1880" t="str">
        <f>FHD_P_70</f>
        <v>Нормативы технологических потерь при передаче тепловой энергии, теплоносителя по тепловым сетям, утвержденные уполномоченным органом</v>
      </c>
      <c r="G110" s="1877" t="s">
        <v>591</v>
      </c>
      <c r="H110" s="557"/>
      <c r="I110" s="557"/>
      <c r="J110" s="557"/>
      <c r="K110" s="289" t="str">
        <f>FHD_NOTE_P_70</f>
        <v/>
      </c>
      <c r="L110" s="543"/>
      <c r="M110" s="1636"/>
      <c r="N110" s="1636"/>
      <c r="S110" s="1636"/>
      <c r="V110" s="544"/>
      <c r="AB110" s="1632"/>
      <c r="AC110" s="1632"/>
      <c r="AD110" s="1632"/>
      <c r="AE110" s="1632"/>
      <c r="AF110" s="1632"/>
      <c r="AG110" s="1160">
        <v>0</v>
      </c>
    </row>
    <row s="1366" customFormat="1" customHeight="1" ht="22.5">
      <c r="A111" s="2371"/>
      <c r="C111" s="1636"/>
      <c r="D111" s="1638"/>
      <c r="E111" s="546" t="str">
        <f>FHD_NUM_P_71</f>
        <v>12</v>
      </c>
      <c r="F111" s="1880" t="str">
        <f>FHD_P_71</f>
        <v>Фактический объем потерь при передаче тепловой энергии</v>
      </c>
      <c r="G111" s="1877" t="s">
        <v>591</v>
      </c>
      <c r="H111" s="557"/>
      <c r="I111" s="557"/>
      <c r="J111" s="557"/>
      <c r="K111" s="289" t="str">
        <f>FHD_NOTE_P_71</f>
        <v/>
      </c>
      <c r="L111" s="543"/>
      <c r="M111" s="1636"/>
      <c r="N111" s="1636"/>
      <c r="S111" s="1636"/>
      <c r="V111" s="544"/>
      <c r="AB111" s="1632"/>
      <c r="AC111" s="1632"/>
      <c r="AD111" s="1632"/>
      <c r="AE111" s="1632"/>
      <c r="AF111" s="1632"/>
      <c r="AG111" s="1160">
        <v>0</v>
      </c>
    </row>
    <row customHeight="1" ht="19.95">
      <c r="D112" s="1638"/>
      <c r="E112" s="546" t="str">
        <f>FHD_NUM_P_72</f>
        <v>13</v>
      </c>
      <c r="F112" s="1880" t="str">
        <f>FHD_P_72</f>
        <v>Среднесписочная численность основного производственного персонала</v>
      </c>
      <c r="G112" s="1876" t="s">
        <v>592</v>
      </c>
      <c r="H112" s="577"/>
      <c r="I112" s="577"/>
      <c r="J112" s="577"/>
      <c r="K112" s="289" t="str">
        <f>FHD_NOTE_P_72</f>
        <v/>
      </c>
      <c r="L112" s="543"/>
      <c r="AG112" s="1631">
        <v>19</v>
      </c>
    </row>
    <row customHeight="1" ht="18.75">
      <c r="A113" s="989" t="s">
        <v>593</v>
      </c>
      <c r="D113" s="1638"/>
      <c r="E113" s="546" t="str">
        <f>FHD_NUM_P_73</f>
        <v>14</v>
      </c>
      <c r="F113" s="1880" t="str">
        <f>FHD_P_73</f>
        <v>Среднесписочная численность административно-управленческого персонала</v>
      </c>
      <c r="G113" s="970" t="s">
        <v>592</v>
      </c>
      <c r="H113" s="968"/>
      <c r="I113" s="968"/>
      <c r="J113" s="968"/>
      <c r="K113" s="289" t="str">
        <f>FHD_NOTE_P_73</f>
        <v/>
      </c>
      <c r="L113" s="543"/>
      <c r="AG113" s="1631">
        <v>0</v>
      </c>
    </row>
    <row customHeight="1" ht="33.75" hidden="1">
      <c r="A114" s="989" t="s">
        <v>594</v>
      </c>
      <c r="D114" s="1638"/>
      <c r="E114" s="546" t="str">
        <f>FHD_NUM_P_74</f>
        <v/>
      </c>
      <c r="F114" s="1880" t="str">
        <f>FHD_P_74</f>
        <v/>
      </c>
      <c r="G114" s="1876" t="s">
        <v>595</v>
      </c>
      <c r="H114" s="577"/>
      <c r="I114" s="577"/>
      <c r="J114" s="577"/>
      <c r="K114" s="289" t="str">
        <f>FHD_NOTE_P_74</f>
        <v/>
      </c>
      <c r="L114" s="543"/>
      <c r="AG114" s="1631">
        <v>0</v>
      </c>
    </row>
    <row s="1635" customFormat="1" customHeight="1" ht="18.75" hidden="1">
      <c r="A115" s="2373" t="s">
        <v>596</v>
      </c>
      <c r="B115" s="910"/>
      <c r="C115" s="735"/>
      <c r="D115" s="733"/>
      <c r="E115" s="546" t="str">
        <f>FHD_NUM_P_75</f>
        <v/>
      </c>
      <c r="F115" s="1880" t="str">
        <f>FHD_P_75</f>
        <v/>
      </c>
      <c r="G115" s="1876" t="s">
        <v>560</v>
      </c>
      <c r="H115" s="557"/>
      <c r="I115" s="557"/>
      <c r="J115" s="557"/>
      <c r="K115" s="289" t="str">
        <f>FHD_NOTE_P_75</f>
        <v/>
      </c>
      <c r="L115" s="734"/>
      <c r="M115" s="735"/>
      <c r="N115" s="735"/>
      <c r="O115" s="910"/>
      <c r="P115" s="910"/>
      <c r="Q115" s="910"/>
      <c r="R115" s="910"/>
      <c r="S115" s="735"/>
      <c r="T115" s="910"/>
      <c r="U115" s="910"/>
      <c r="V115" s="736"/>
      <c r="W115" s="910"/>
      <c r="X115" s="910"/>
      <c r="Y115" s="910"/>
      <c r="Z115" s="910"/>
      <c r="AA115" s="910"/>
      <c r="AB115" s="737"/>
      <c r="AC115" s="737"/>
      <c r="AD115" s="737"/>
      <c r="AE115" s="737"/>
      <c r="AF115" s="737"/>
      <c r="AG115" s="739">
        <v>0</v>
      </c>
    </row>
    <row s="1635" customFormat="1" customHeight="1" ht="18.75" hidden="1">
      <c r="A116" s="2373"/>
      <c r="B116" s="910"/>
      <c r="C116" s="735"/>
      <c r="D116" s="733"/>
      <c r="E116" s="546" t="str">
        <f>FHD_NUM_P_76</f>
        <v/>
      </c>
      <c r="F116" s="1880" t="str">
        <f>FHD_P_76</f>
        <v/>
      </c>
      <c r="G116" s="1876" t="s">
        <v>560</v>
      </c>
      <c r="H116" s="557"/>
      <c r="I116" s="557"/>
      <c r="J116" s="557"/>
      <c r="K116" s="289" t="str">
        <f>FHD_NOTE_P_76</f>
        <v/>
      </c>
      <c r="L116" s="734"/>
      <c r="M116" s="735"/>
      <c r="N116" s="735"/>
      <c r="O116" s="910"/>
      <c r="P116" s="910"/>
      <c r="Q116" s="910"/>
      <c r="R116" s="910"/>
      <c r="S116" s="735"/>
      <c r="T116" s="910"/>
      <c r="U116" s="910"/>
      <c r="V116" s="736"/>
      <c r="W116" s="910"/>
      <c r="X116" s="910"/>
      <c r="Y116" s="910"/>
      <c r="Z116" s="910"/>
      <c r="AA116" s="910"/>
      <c r="AB116" s="737"/>
      <c r="AC116" s="737"/>
      <c r="AD116" s="737"/>
      <c r="AE116" s="737"/>
      <c r="AF116" s="737"/>
      <c r="AG116" s="739">
        <v>0</v>
      </c>
    </row>
    <row s="1635" customFormat="1" customHeight="1" ht="18.75" hidden="1">
      <c r="A117" s="2373"/>
      <c r="B117" s="910"/>
      <c r="C117" s="735"/>
      <c r="D117" s="733"/>
      <c r="E117" s="546" t="str">
        <f>FHD_NUM_P_77</f>
        <v/>
      </c>
      <c r="F117" s="1880" t="str">
        <f>FHD_P_77</f>
        <v/>
      </c>
      <c r="G117" s="1876" t="s">
        <v>560</v>
      </c>
      <c r="H117" s="557"/>
      <c r="I117" s="557"/>
      <c r="J117" s="557"/>
      <c r="K117" s="289" t="str">
        <f>FHD_NOTE_P_77</f>
        <v/>
      </c>
      <c r="L117" s="734"/>
      <c r="M117" s="735"/>
      <c r="N117" s="735"/>
      <c r="O117" s="910"/>
      <c r="P117" s="910"/>
      <c r="Q117" s="910"/>
      <c r="R117" s="910"/>
      <c r="S117" s="735"/>
      <c r="T117" s="910"/>
      <c r="U117" s="910"/>
      <c r="V117" s="736"/>
      <c r="W117" s="910"/>
      <c r="X117" s="910"/>
      <c r="Y117" s="910"/>
      <c r="Z117" s="910"/>
      <c r="AA117" s="910"/>
      <c r="AB117" s="737"/>
      <c r="AC117" s="737"/>
      <c r="AD117" s="737"/>
      <c r="AE117" s="737"/>
      <c r="AF117" s="737"/>
      <c r="AG117" s="739">
        <v>0</v>
      </c>
    </row>
    <row s="1642" customFormat="1" customHeight="1" ht="0.75" hidden="1">
      <c r="A118" s="2373"/>
      <c r="D118" s="548"/>
      <c r="E118" s="1013" t="str">
        <f>E117&amp;".0"</f>
        <v>.0</v>
      </c>
      <c r="F118" s="997"/>
      <c r="G118" s="1651"/>
      <c r="H118" s="992"/>
      <c r="I118" s="992"/>
      <c r="J118" s="992"/>
      <c r="K118" s="996"/>
      <c r="AG118" s="1636">
        <v>0</v>
      </c>
    </row>
    <row s="1635" customFormat="1" customHeight="1" ht="15" hidden="1">
      <c r="A119" s="2373"/>
      <c r="B119" s="910"/>
      <c r="C119" s="735"/>
      <c r="D119" s="746"/>
      <c r="E119" s="973"/>
      <c r="F119" s="974" t="s">
        <v>597</v>
      </c>
      <c r="G119" s="747"/>
      <c r="H119" s="748"/>
      <c r="I119" s="748"/>
      <c r="J119" s="2636"/>
      <c r="K119" s="1003" t="s">
        <v>598</v>
      </c>
      <c r="L119" s="734"/>
      <c r="M119" s="735"/>
      <c r="N119" s="735"/>
      <c r="O119" s="910"/>
      <c r="P119" s="910"/>
      <c r="Q119" s="910"/>
      <c r="R119" s="910"/>
      <c r="S119" s="735"/>
      <c r="T119" s="910"/>
      <c r="U119" s="910"/>
      <c r="V119" s="736"/>
      <c r="W119" s="910"/>
      <c r="X119" s="910"/>
      <c r="Y119" s="910"/>
      <c r="Z119" s="910"/>
      <c r="AA119" s="910"/>
      <c r="AB119" s="737"/>
      <c r="AC119" s="737"/>
      <c r="AD119" s="737"/>
      <c r="AE119" s="737"/>
      <c r="AF119" s="737"/>
      <c r="AG119" s="739">
        <v>0</v>
      </c>
    </row>
    <row customHeight="1" ht="22.5">
      <c r="A120" s="2371" t="s">
        <v>599</v>
      </c>
      <c r="D120" s="1638"/>
      <c r="E120" s="546" t="str">
        <f>FHD_NUM_P_78</f>
        <v>15</v>
      </c>
      <c r="F120" s="1880" t="str">
        <f>FHD_P_78</f>
        <v>Норматив удельного расхода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v>
      </c>
      <c r="G120" s="1877" t="s">
        <v>562</v>
      </c>
      <c r="H120" s="577"/>
      <c r="I120" s="577"/>
      <c r="J120" s="577"/>
      <c r="K120" s="289" t="str">
        <f>FHD_NOTE_P_78</f>
        <v/>
      </c>
      <c r="L120" s="543"/>
      <c r="AG120" s="1631">
        <v>0</v>
      </c>
    </row>
    <row s="1642" customFormat="1" customHeight="1" ht="0.75">
      <c r="A121" s="2371"/>
      <c r="D121" s="548"/>
      <c r="E121" s="1013" t="str">
        <f>E120&amp;".0"</f>
        <v>15.0</v>
      </c>
      <c r="F121" s="997"/>
      <c r="G121" s="1651"/>
      <c r="H121" s="992"/>
      <c r="I121" s="992"/>
      <c r="J121" s="992"/>
      <c r="K121" s="996"/>
      <c r="AG121" s="1636">
        <v>0</v>
      </c>
    </row>
    <row customHeight="1" ht="15">
      <c r="A122" s="2371"/>
      <c r="D122" s="1633"/>
      <c r="E122" s="570"/>
      <c r="F122" s="1168" t="s">
        <v>588</v>
      </c>
      <c r="G122" s="572"/>
      <c r="H122" s="573"/>
      <c r="I122" s="573"/>
      <c r="J122" s="2637"/>
      <c r="K122" s="1004" t="s">
        <v>600</v>
      </c>
      <c r="L122" s="543"/>
      <c r="AG122" s="1631">
        <v>0</v>
      </c>
    </row>
    <row customHeight="1" ht="22.5">
      <c r="A123" s="2371"/>
      <c r="D123" s="1638"/>
      <c r="E123" s="546" t="str">
        <f>FHD_NUM_P_79</f>
        <v>16</v>
      </c>
      <c r="F123" s="1880" t="str">
        <f>FHD_P_79</f>
        <v>Фактический удельный расход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v>
      </c>
      <c r="G123" s="1878" t="s">
        <v>564</v>
      </c>
      <c r="H123" s="577"/>
      <c r="I123" s="577"/>
      <c r="J123" s="577"/>
      <c r="K123" s="289" t="str">
        <f>FHD_NOTE_P_79</f>
        <v>Регулируемыми организациями указывается информация с распределением по источникам тепловой энергии, используемым для осуществления регулируемых видов деятельности.</v>
      </c>
      <c r="L123" s="543"/>
      <c r="AG123" s="1631">
        <v>0</v>
      </c>
    </row>
    <row s="1642" customFormat="1" customHeight="1" ht="0.75">
      <c r="A124" s="2371"/>
      <c r="D124" s="548"/>
      <c r="E124" s="1013" t="str">
        <f>E123&amp;".0"</f>
        <v>16.0</v>
      </c>
      <c r="F124" s="998"/>
      <c r="G124" s="1651"/>
      <c r="H124" s="992"/>
      <c r="I124" s="992"/>
      <c r="J124" s="992"/>
      <c r="K124" s="996"/>
      <c r="AG124" s="1636">
        <v>0</v>
      </c>
    </row>
    <row customHeight="1" ht="15">
      <c r="A125" s="2371"/>
      <c r="D125" s="1633"/>
      <c r="E125" s="570"/>
      <c r="F125" s="1168" t="s">
        <v>588</v>
      </c>
      <c r="G125" s="572"/>
      <c r="H125" s="573"/>
      <c r="I125" s="573"/>
      <c r="J125" s="2638"/>
      <c r="K125" s="1004" t="s">
        <v>601</v>
      </c>
      <c r="L125" s="543"/>
      <c r="AG125" s="1631">
        <v>0</v>
      </c>
    </row>
    <row customHeight="1" ht="22.5">
      <c r="A126" s="2371"/>
      <c r="D126" s="1638"/>
      <c r="E126" s="546" t="str">
        <f>FHD_NUM_P_80</f>
        <v>17</v>
      </c>
      <c r="F126" s="1880" t="str">
        <f>FHD_P_80</f>
        <v>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v>
      </c>
      <c r="G126" s="1878" t="s">
        <v>602</v>
      </c>
      <c r="H126" s="557"/>
      <c r="I126" s="557"/>
      <c r="J126" s="557"/>
      <c r="K126" s="289" t="str">
        <f>FHD_NOTE_P_80</f>
        <v>Регулируемыми организациями указывается информация с по договорам, заключенным в рамках осуществления регулируемой деятельности.</v>
      </c>
      <c r="L126" s="543"/>
      <c r="AG126" s="1631">
        <v>0</v>
      </c>
    </row>
    <row customHeight="1" ht="18.75">
      <c r="A127" s="2371"/>
      <c r="D127" s="1638"/>
      <c r="E127" s="546" t="str">
        <f>FHD_NUM_P_81</f>
        <v>18</v>
      </c>
      <c r="F127" s="1880" t="str">
        <f>FHD_P_81</f>
        <v>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v>
      </c>
      <c r="G127" s="1878" t="s">
        <v>603</v>
      </c>
      <c r="H127" s="557"/>
      <c r="I127" s="557"/>
      <c r="J127" s="557"/>
      <c r="K127" s="289" t="str">
        <f>FHD_NOTE_P_81</f>
        <v>Регулируемыми организациями указывается информация с по договорам, заключенным в рамках осуществления регулируемой деятельности.</v>
      </c>
      <c r="L127" s="543"/>
      <c r="AG127" s="1631">
        <v>0</v>
      </c>
    </row>
    <row customHeight="1" ht="18.75">
      <c r="A128" s="2371"/>
      <c r="C128" s="1636" t="s">
        <v>590</v>
      </c>
      <c r="D128" s="1638"/>
      <c r="E128" s="546" t="str">
        <f>FHD_NUM_P_82</f>
        <v>19</v>
      </c>
      <c r="F128" s="1880" t="str">
        <f>FHD_P_82</f>
        <v>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v>
      </c>
      <c r="G128" s="1878" t="s">
        <v>308</v>
      </c>
      <c r="H128" s="401"/>
      <c r="I128" s="401"/>
      <c r="J128" s="818"/>
      <c r="K128" s="289" t="str">
        <f>FHD_NOTE_P_82</f>
        <v>Указывается ссылка на документ, предварительно загруженный в хранилище файлов ФГИС ЕИАС.</v>
      </c>
      <c r="L128" s="543"/>
      <c r="AG128" s="1631">
        <v>0</v>
      </c>
    </row>
    <row customHeight="1" ht="18.75">
      <c r="A129" s="2371"/>
      <c r="C129" s="1636" t="s">
        <v>590</v>
      </c>
      <c r="D129" s="1638"/>
      <c r="E129" s="546" t="str">
        <f>FHD_NUM_P_83</f>
        <v>19.1</v>
      </c>
      <c r="F129" s="1524" t="str">
        <f>FHD_P_83</f>
        <v>Информация о показателях физического износа объектов теплоснабжения</v>
      </c>
      <c r="G129" s="1878" t="s">
        <v>308</v>
      </c>
      <c r="H129" s="401"/>
      <c r="I129" s="401"/>
      <c r="J129" s="818"/>
      <c r="K129" s="289" t="str">
        <f>FHD_NOTE_P_83</f>
        <v>Указывается ссылка на документ, предварительно загруженный в хранилище файлов ФГИС ЕИАС.</v>
      </c>
      <c r="L129" s="543"/>
      <c r="AG129" s="1631">
        <v>0</v>
      </c>
    </row>
    <row customHeight="1" ht="18.75">
      <c r="A130" s="2371"/>
      <c r="C130" s="1636" t="s">
        <v>590</v>
      </c>
      <c r="D130" s="1638"/>
      <c r="E130" s="546" t="str">
        <f>FHD_NUM_P_84</f>
        <v>19.2</v>
      </c>
      <c r="F130" s="1524" t="str">
        <f>FHD_P_84</f>
        <v>Информация о показателях энергетической эффективности объектов теплоснабжения</v>
      </c>
      <c r="G130" s="1878" t="s">
        <v>308</v>
      </c>
      <c r="H130" s="401"/>
      <c r="I130" s="401"/>
      <c r="J130" s="818"/>
      <c r="K130" s="289" t="str">
        <f>FHD_NOTE_P_84</f>
        <v>Указывается ссылка на документ, предварительно загруженный в хранилище файлов ФГИС ЕИАС.</v>
      </c>
      <c r="L130" s="543"/>
      <c r="AG130" s="1631">
        <v>0</v>
      </c>
    </row>
    <row customHeight="1" ht="11.549999999999999">
      <c r="D131" s="1638"/>
      <c r="J131" s="1635"/>
      <c r="AG131" s="1631">
        <v>11</v>
      </c>
    </row>
    <row customHeight="1" ht="13.5">
      <c r="D132" s="1638"/>
      <c r="E132" s="336"/>
      <c r="F132" s="369"/>
      <c r="G132" s="369"/>
      <c r="H132" s="369"/>
      <c r="I132" s="1647"/>
      <c r="J132" s="1687"/>
      <c r="K132" s="581"/>
      <c r="AG132" s="1631">
        <v>13</v>
      </c>
    </row>
    <row s="1641" customFormat="1" customHeight="1" ht="11.549999999999999">
      <c r="A133" s="987"/>
      <c r="B133" s="1636"/>
      <c r="C133" s="1636"/>
      <c r="D133" s="351"/>
      <c r="F133" s="1640"/>
      <c r="G133" s="1631"/>
      <c r="H133" s="1631"/>
      <c r="I133" s="1631"/>
      <c r="J133" s="1635"/>
      <c r="L133" s="1160"/>
      <c r="M133" s="1636"/>
      <c r="N133" s="1636"/>
      <c r="O133" s="1160"/>
      <c r="P133" s="1160"/>
      <c r="Q133" s="1160"/>
      <c r="R133" s="1160"/>
      <c r="S133" s="1636"/>
      <c r="T133" s="1160"/>
      <c r="U133" s="1160"/>
      <c r="V133" s="544"/>
      <c r="W133" s="1160"/>
      <c r="X133" s="1160"/>
      <c r="Y133" s="1160"/>
      <c r="Z133" s="1160"/>
      <c r="AA133" s="1160"/>
      <c r="AB133" s="1632"/>
      <c r="AC133" s="566"/>
      <c r="AD133" s="566"/>
      <c r="AE133" s="566"/>
      <c r="AF133" s="566"/>
      <c r="AG133" s="1641">
        <v>11</v>
      </c>
    </row>
    <row s="1641" customFormat="1" customHeight="1" ht="11.549999999999999">
      <c r="A134" s="987"/>
      <c r="B134" s="1636"/>
      <c r="C134" s="1636"/>
      <c r="D134" s="351"/>
      <c r="J134" s="1641"/>
      <c r="L134" s="1160"/>
      <c r="M134" s="1636"/>
      <c r="N134" s="1636"/>
      <c r="O134" s="1160"/>
      <c r="P134" s="1160"/>
      <c r="Q134" s="1160"/>
      <c r="R134" s="1160"/>
      <c r="S134" s="1636"/>
      <c r="T134" s="1160"/>
      <c r="U134" s="1160"/>
      <c r="V134" s="544"/>
      <c r="W134" s="1160"/>
      <c r="X134" s="1160"/>
      <c r="Y134" s="1160"/>
      <c r="Z134" s="1160"/>
      <c r="AA134" s="1160"/>
      <c r="AB134" s="1632"/>
      <c r="AC134" s="566"/>
      <c r="AD134" s="566"/>
      <c r="AE134" s="566"/>
      <c r="AF134" s="566"/>
      <c r="AG134" s="1641">
        <v>11</v>
      </c>
    </row>
    <row s="1641" customFormat="1" customHeight="1" ht="11.549999999999999">
      <c r="A135" s="987"/>
      <c r="B135" s="1636"/>
      <c r="C135" s="1636"/>
      <c r="D135" s="351"/>
      <c r="J135" s="1641"/>
      <c r="L135" s="1160"/>
      <c r="M135" s="1636"/>
      <c r="N135" s="1636"/>
      <c r="O135" s="1160"/>
      <c r="P135" s="1160"/>
      <c r="Q135" s="1160"/>
      <c r="R135" s="1160"/>
      <c r="S135" s="1636"/>
      <c r="T135" s="1160"/>
      <c r="U135" s="1160"/>
      <c r="V135" s="544"/>
      <c r="W135" s="1160"/>
      <c r="X135" s="1160"/>
      <c r="Y135" s="1160"/>
      <c r="Z135" s="1160"/>
      <c r="AA135" s="1160"/>
      <c r="AB135" s="1632"/>
      <c r="AC135" s="566"/>
      <c r="AD135" s="566"/>
      <c r="AE135" s="566"/>
      <c r="AF135" s="566"/>
      <c r="AG135" s="1641">
        <v>11</v>
      </c>
    </row>
    <row s="1641" customFormat="1" customHeight="1" ht="11.549999999999999">
      <c r="A136" s="987"/>
      <c r="B136" s="1636"/>
      <c r="C136" s="1636"/>
      <c r="D136" s="351"/>
      <c r="H136" s="566" t="str">
        <f>IF(H30-H31&lt;&gt;H72,"WARNING","")</f>
        <v/>
      </c>
      <c r="I136" s="566" t="str">
        <f>IF(I30-I31&lt;&gt;I72,"WARNING","")</f>
        <v/>
      </c>
      <c r="J136" s="622" t="str">
        <f>IF(J30-J31&lt;&gt;J72,"WARNING","")</f>
        <v/>
      </c>
      <c r="L136" s="1160"/>
      <c r="M136" s="1636"/>
      <c r="N136" s="1636"/>
      <c r="O136" s="1160"/>
      <c r="P136" s="1160"/>
      <c r="Q136" s="1160"/>
      <c r="R136" s="1160"/>
      <c r="S136" s="1636"/>
      <c r="T136" s="1160"/>
      <c r="U136" s="1160"/>
      <c r="V136" s="544"/>
      <c r="W136" s="1160"/>
      <c r="X136" s="1160"/>
      <c r="Y136" s="1160"/>
      <c r="Z136" s="1160"/>
      <c r="AA136" s="1160"/>
      <c r="AB136" s="1632"/>
      <c r="AC136" s="566"/>
      <c r="AD136" s="566"/>
      <c r="AE136" s="566"/>
      <c r="AF136" s="566"/>
      <c r="AG136" s="1641">
        <v>11</v>
      </c>
    </row>
    <row s="1641" customFormat="1" customHeight="1" ht="11.549999999999999">
      <c r="A137" s="987"/>
      <c r="B137" s="1636"/>
      <c r="C137" s="1636"/>
      <c r="D137" s="351"/>
      <c r="J137" s="1641"/>
      <c r="L137" s="1160"/>
      <c r="M137" s="1636"/>
      <c r="N137" s="1636"/>
      <c r="O137" s="1160"/>
      <c r="P137" s="1160"/>
      <c r="Q137" s="1160"/>
      <c r="R137" s="1160"/>
      <c r="S137" s="1636"/>
      <c r="T137" s="1160"/>
      <c r="U137" s="1160"/>
      <c r="V137" s="544"/>
      <c r="W137" s="1160"/>
      <c r="X137" s="1160"/>
      <c r="Y137" s="1160"/>
      <c r="Z137" s="1160"/>
      <c r="AA137" s="1160"/>
      <c r="AB137" s="1632"/>
      <c r="AC137" s="566"/>
      <c r="AD137" s="566"/>
      <c r="AE137" s="566"/>
      <c r="AF137" s="566"/>
      <c r="AG137" s="1641">
        <v>11</v>
      </c>
    </row>
    <row s="1641" customFormat="1" customHeight="1" ht="11.549999999999999">
      <c r="A138" s="987"/>
      <c r="B138" s="1636"/>
      <c r="C138" s="1636"/>
      <c r="D138" s="351"/>
      <c r="J138" s="1641"/>
      <c r="L138" s="1160"/>
      <c r="M138" s="1636"/>
      <c r="N138" s="1636"/>
      <c r="O138" s="1160"/>
      <c r="P138" s="1160"/>
      <c r="Q138" s="1160"/>
      <c r="R138" s="1160"/>
      <c r="S138" s="1636"/>
      <c r="T138" s="1160"/>
      <c r="U138" s="1160"/>
      <c r="V138" s="544"/>
      <c r="W138" s="1160"/>
      <c r="X138" s="1160"/>
      <c r="Y138" s="1160"/>
      <c r="Z138" s="1160"/>
      <c r="AA138" s="1160"/>
      <c r="AB138" s="1632"/>
      <c r="AC138" s="566"/>
      <c r="AD138" s="566"/>
      <c r="AE138" s="566"/>
      <c r="AF138" s="566"/>
      <c r="AG138" s="1641">
        <v>11</v>
      </c>
    </row>
    <row s="1641" customFormat="1" customHeight="1" ht="11.549999999999999">
      <c r="A139" s="987"/>
      <c r="B139" s="1636"/>
      <c r="C139" s="1636"/>
      <c r="D139" s="351"/>
      <c r="J139" s="1641"/>
      <c r="L139" s="1160"/>
      <c r="M139" s="1636"/>
      <c r="N139" s="1636"/>
      <c r="O139" s="1160"/>
      <c r="P139" s="1160"/>
      <c r="Q139" s="1160"/>
      <c r="R139" s="1160"/>
      <c r="S139" s="1636"/>
      <c r="T139" s="1160"/>
      <c r="U139" s="1160"/>
      <c r="V139" s="544"/>
      <c r="W139" s="1160"/>
      <c r="X139" s="1160"/>
      <c r="Y139" s="1160"/>
      <c r="Z139" s="1160"/>
      <c r="AA139" s="1160"/>
      <c r="AB139" s="1632"/>
      <c r="AC139" s="566"/>
      <c r="AD139" s="566"/>
      <c r="AE139" s="566"/>
      <c r="AF139" s="566"/>
      <c r="AG139" s="1641">
        <v>11</v>
      </c>
    </row>
    <row s="1641" customFormat="1" customHeight="1" ht="11.549999999999999">
      <c r="A140" s="987"/>
      <c r="B140" s="1636"/>
      <c r="C140" s="1636"/>
      <c r="D140" s="351"/>
      <c r="J140" s="1641"/>
      <c r="L140" s="1160"/>
      <c r="M140" s="1636"/>
      <c r="N140" s="1636"/>
      <c r="O140" s="1160"/>
      <c r="P140" s="1160"/>
      <c r="Q140" s="1160"/>
      <c r="R140" s="1160"/>
      <c r="S140" s="1636"/>
      <c r="T140" s="1160"/>
      <c r="U140" s="1160"/>
      <c r="V140" s="544"/>
      <c r="W140" s="1160"/>
      <c r="X140" s="1160"/>
      <c r="Y140" s="1160"/>
      <c r="Z140" s="1160"/>
      <c r="AA140" s="1160"/>
      <c r="AB140" s="1632"/>
      <c r="AC140" s="566"/>
      <c r="AD140" s="566"/>
      <c r="AE140" s="566"/>
      <c r="AF140" s="566"/>
      <c r="AG140" s="1641">
        <v>11</v>
      </c>
    </row>
    <row s="1641" customFormat="1" customHeight="1" ht="11.549999999999999">
      <c r="A141" s="987"/>
      <c r="B141" s="1636"/>
      <c r="C141" s="1636"/>
      <c r="D141" s="351"/>
      <c r="J141" s="1641"/>
      <c r="L141" s="1160"/>
      <c r="M141" s="1636"/>
      <c r="N141" s="1636"/>
      <c r="O141" s="1160"/>
      <c r="P141" s="1160"/>
      <c r="Q141" s="1160"/>
      <c r="R141" s="1160"/>
      <c r="S141" s="1636"/>
      <c r="T141" s="1160"/>
      <c r="U141" s="1160"/>
      <c r="V141" s="544"/>
      <c r="W141" s="1160"/>
      <c r="X141" s="1160"/>
      <c r="Y141" s="1160"/>
      <c r="Z141" s="1160"/>
      <c r="AA141" s="1160"/>
      <c r="AB141" s="1632"/>
      <c r="AC141" s="566"/>
      <c r="AD141" s="566"/>
      <c r="AE141" s="566"/>
      <c r="AF141" s="566"/>
      <c r="AG141" s="1641">
        <v>11</v>
      </c>
    </row>
    <row s="1641" customFormat="1" customHeight="1" ht="11.549999999999999">
      <c r="A142" s="987"/>
      <c r="B142" s="1636"/>
      <c r="C142" s="1636"/>
      <c r="D142" s="351"/>
      <c r="J142" s="1641"/>
      <c r="L142" s="1160"/>
      <c r="M142" s="1636"/>
      <c r="N142" s="1636"/>
      <c r="O142" s="1160"/>
      <c r="P142" s="1160"/>
      <c r="Q142" s="1160"/>
      <c r="R142" s="1160"/>
      <c r="S142" s="1636"/>
      <c r="T142" s="1160"/>
      <c r="U142" s="1160"/>
      <c r="V142" s="544"/>
      <c r="W142" s="1160"/>
      <c r="X142" s="1160"/>
      <c r="Y142" s="1160"/>
      <c r="Z142" s="1160"/>
      <c r="AA142" s="1160"/>
      <c r="AB142" s="1632"/>
      <c r="AC142" s="566"/>
      <c r="AD142" s="566"/>
      <c r="AE142" s="566"/>
      <c r="AF142" s="566"/>
      <c r="AG142" s="1641">
        <v>11</v>
      </c>
    </row>
    <row s="1641" customFormat="1" customHeight="1" ht="11.549999999999999">
      <c r="A143" s="987"/>
      <c r="B143" s="1636"/>
      <c r="C143" s="1636"/>
      <c r="D143" s="351"/>
      <c r="J143" s="1641"/>
      <c r="L143" s="1160"/>
      <c r="M143" s="1636"/>
      <c r="N143" s="1636"/>
      <c r="O143" s="1160"/>
      <c r="P143" s="1160"/>
      <c r="Q143" s="1160"/>
      <c r="R143" s="1160"/>
      <c r="S143" s="1636"/>
      <c r="T143" s="1160"/>
      <c r="U143" s="1160"/>
      <c r="V143" s="544"/>
      <c r="W143" s="1160"/>
      <c r="X143" s="1160"/>
      <c r="Y143" s="1160"/>
      <c r="Z143" s="1160"/>
      <c r="AA143" s="1160"/>
      <c r="AB143" s="1632"/>
      <c r="AC143" s="566"/>
      <c r="AD143" s="566"/>
      <c r="AE143" s="566"/>
      <c r="AF143" s="566"/>
      <c r="AG143" s="1641">
        <v>11</v>
      </c>
    </row>
    <row s="1641" customFormat="1" customHeight="1" ht="11.549999999999999">
      <c r="A144" s="987"/>
      <c r="B144" s="1636"/>
      <c r="C144" s="1636"/>
      <c r="D144" s="351"/>
      <c r="J144" s="1641"/>
      <c r="L144" s="1160"/>
      <c r="M144" s="1636"/>
      <c r="N144" s="1636"/>
      <c r="O144" s="1160"/>
      <c r="P144" s="1160"/>
      <c r="Q144" s="1160"/>
      <c r="R144" s="1160"/>
      <c r="S144" s="1636"/>
      <c r="T144" s="1160"/>
      <c r="U144" s="1160"/>
      <c r="V144" s="544"/>
      <c r="W144" s="1160"/>
      <c r="X144" s="1160"/>
      <c r="Y144" s="1160"/>
      <c r="Z144" s="1160"/>
      <c r="AA144" s="1160"/>
      <c r="AB144" s="1632"/>
      <c r="AC144" s="566"/>
      <c r="AD144" s="566"/>
      <c r="AE144" s="566"/>
      <c r="AF144" s="566"/>
      <c r="AG144" s="1641">
        <v>11</v>
      </c>
    </row>
    <row s="1641" customFormat="1" customHeight="1" ht="11.549999999999999">
      <c r="A145" s="987"/>
      <c r="B145" s="1636"/>
      <c r="C145" s="1636"/>
      <c r="D145" s="351"/>
      <c r="J145" s="1641"/>
      <c r="L145" s="1160"/>
      <c r="M145" s="1636"/>
      <c r="N145" s="1636"/>
      <c r="O145" s="1160"/>
      <c r="P145" s="1160"/>
      <c r="Q145" s="1160"/>
      <c r="R145" s="1160"/>
      <c r="S145" s="1636"/>
      <c r="T145" s="1160"/>
      <c r="U145" s="1160"/>
      <c r="V145" s="544"/>
      <c r="W145" s="1160"/>
      <c r="X145" s="1160"/>
      <c r="Y145" s="1160"/>
      <c r="Z145" s="1160"/>
      <c r="AA145" s="1160"/>
      <c r="AB145" s="1632"/>
      <c r="AC145" s="566"/>
      <c r="AD145" s="566"/>
      <c r="AE145" s="566"/>
      <c r="AF145" s="566"/>
      <c r="AG145" s="1641">
        <v>11</v>
      </c>
    </row>
    <row s="1641" customFormat="1" customHeight="1" ht="11.549999999999999">
      <c r="A146" s="987"/>
      <c r="B146" s="1636"/>
      <c r="C146" s="1636"/>
      <c r="D146" s="351"/>
      <c r="J146" s="1641"/>
      <c r="L146" s="1160"/>
      <c r="M146" s="1636"/>
      <c r="N146" s="1636"/>
      <c r="O146" s="1160"/>
      <c r="P146" s="1160"/>
      <c r="Q146" s="1160"/>
      <c r="R146" s="1160"/>
      <c r="S146" s="1636"/>
      <c r="T146" s="1160"/>
      <c r="U146" s="1160"/>
      <c r="V146" s="544"/>
      <c r="W146" s="1160"/>
      <c r="X146" s="1160"/>
      <c r="Y146" s="1160"/>
      <c r="Z146" s="1160"/>
      <c r="AA146" s="1160"/>
      <c r="AB146" s="1632"/>
      <c r="AC146" s="566"/>
      <c r="AD146" s="566"/>
      <c r="AE146" s="566"/>
      <c r="AF146" s="566"/>
      <c r="AG146" s="1641">
        <v>11</v>
      </c>
    </row>
    <row s="1641" customFormat="1" customHeight="1" ht="11.549999999999999">
      <c r="A147" s="987"/>
      <c r="B147" s="1636"/>
      <c r="C147" s="1636"/>
      <c r="D147" s="351"/>
      <c r="J147" s="1641"/>
      <c r="L147" s="1160"/>
      <c r="M147" s="1636"/>
      <c r="N147" s="1636"/>
      <c r="O147" s="1160"/>
      <c r="P147" s="1160"/>
      <c r="Q147" s="1160"/>
      <c r="R147" s="1160"/>
      <c r="S147" s="1636"/>
      <c r="T147" s="1160"/>
      <c r="U147" s="1160"/>
      <c r="V147" s="544"/>
      <c r="W147" s="1160"/>
      <c r="X147" s="1160"/>
      <c r="Y147" s="1160"/>
      <c r="Z147" s="1160"/>
      <c r="AA147" s="1160"/>
      <c r="AB147" s="1632"/>
      <c r="AC147" s="566"/>
      <c r="AD147" s="566"/>
      <c r="AE147" s="566"/>
      <c r="AF147" s="566"/>
      <c r="AG147" s="1641">
        <v>11</v>
      </c>
    </row>
    <row s="1641" customFormat="1" customHeight="1" ht="11.549999999999999">
      <c r="A148" s="987"/>
      <c r="B148" s="1636"/>
      <c r="C148" s="1636"/>
      <c r="D148" s="351"/>
      <c r="J148" s="1641"/>
      <c r="L148" s="1160"/>
      <c r="M148" s="1636"/>
      <c r="N148" s="1636"/>
      <c r="O148" s="1160"/>
      <c r="P148" s="1160"/>
      <c r="Q148" s="1160"/>
      <c r="R148" s="1160"/>
      <c r="S148" s="1636"/>
      <c r="T148" s="1160"/>
      <c r="U148" s="1160"/>
      <c r="V148" s="544"/>
      <c r="W148" s="1160"/>
      <c r="X148" s="1160"/>
      <c r="Y148" s="1160"/>
      <c r="Z148" s="1160"/>
      <c r="AA148" s="1160"/>
      <c r="AB148" s="1632"/>
      <c r="AC148" s="566"/>
      <c r="AD148" s="566"/>
      <c r="AE148" s="566"/>
      <c r="AF148" s="566"/>
      <c r="AG148" s="1641">
        <v>11</v>
      </c>
    </row>
    <row s="1641" customFormat="1" customHeight="1" ht="11.549999999999999">
      <c r="A149" s="987"/>
      <c r="B149" s="1636"/>
      <c r="C149" s="1636"/>
      <c r="D149" s="351"/>
      <c r="J149" s="1641"/>
      <c r="L149" s="1160"/>
      <c r="M149" s="1636"/>
      <c r="N149" s="1636"/>
      <c r="O149" s="1160"/>
      <c r="P149" s="1160"/>
      <c r="Q149" s="1160"/>
      <c r="R149" s="1160"/>
      <c r="S149" s="1636"/>
      <c r="T149" s="1160"/>
      <c r="U149" s="1160"/>
      <c r="V149" s="544"/>
      <c r="W149" s="1160"/>
      <c r="X149" s="1160"/>
      <c r="Y149" s="1160"/>
      <c r="Z149" s="1160"/>
      <c r="AA149" s="1160"/>
      <c r="AB149" s="1632"/>
      <c r="AC149" s="566"/>
      <c r="AD149" s="566"/>
      <c r="AE149" s="566"/>
      <c r="AF149" s="566"/>
      <c r="AG149" s="1641">
        <v>11</v>
      </c>
    </row>
    <row s="1641" customFormat="1" customHeight="1" ht="11.549999999999999">
      <c r="A150" s="987"/>
      <c r="B150" s="1636"/>
      <c r="C150" s="1636"/>
      <c r="D150" s="351"/>
      <c r="J150" s="1641"/>
      <c r="L150" s="1160"/>
      <c r="M150" s="1636"/>
      <c r="N150" s="1636"/>
      <c r="O150" s="1160"/>
      <c r="P150" s="1160"/>
      <c r="Q150" s="1160"/>
      <c r="R150" s="1160"/>
      <c r="S150" s="1636"/>
      <c r="T150" s="1160"/>
      <c r="U150" s="1160"/>
      <c r="V150" s="544"/>
      <c r="W150" s="1160"/>
      <c r="X150" s="1160"/>
      <c r="Y150" s="1160"/>
      <c r="Z150" s="1160"/>
      <c r="AA150" s="1160"/>
      <c r="AB150" s="1632"/>
      <c r="AC150" s="566"/>
      <c r="AD150" s="566"/>
      <c r="AE150" s="566"/>
      <c r="AF150" s="566"/>
      <c r="AG150" s="1641">
        <v>11</v>
      </c>
    </row>
    <row s="1641" customFormat="1" customHeight="1" ht="11.549999999999999">
      <c r="A151" s="987"/>
      <c r="B151" s="1636"/>
      <c r="C151" s="1636"/>
      <c r="D151" s="351"/>
      <c r="J151" s="1641"/>
      <c r="L151" s="1160"/>
      <c r="M151" s="1636"/>
      <c r="N151" s="1636"/>
      <c r="O151" s="1160"/>
      <c r="P151" s="1160"/>
      <c r="Q151" s="1160"/>
      <c r="R151" s="1160"/>
      <c r="S151" s="1636"/>
      <c r="T151" s="1160"/>
      <c r="U151" s="1160"/>
      <c r="V151" s="544"/>
      <c r="W151" s="1160"/>
      <c r="X151" s="1160"/>
      <c r="Y151" s="1160"/>
      <c r="Z151" s="1160"/>
      <c r="AA151" s="1160"/>
      <c r="AB151" s="1632"/>
      <c r="AC151" s="566"/>
      <c r="AD151" s="566"/>
      <c r="AE151" s="566"/>
      <c r="AF151" s="566"/>
      <c r="AG151" s="1641">
        <v>11</v>
      </c>
    </row>
    <row s="1641" customFormat="1" customHeight="1" ht="11.549999999999999">
      <c r="A152" s="987"/>
      <c r="B152" s="1636"/>
      <c r="C152" s="1636"/>
      <c r="D152" s="351"/>
      <c r="J152" s="1641"/>
      <c r="L152" s="1160"/>
      <c r="M152" s="1636"/>
      <c r="N152" s="1636"/>
      <c r="O152" s="1160"/>
      <c r="P152" s="1160"/>
      <c r="Q152" s="1160"/>
      <c r="R152" s="1160"/>
      <c r="S152" s="1636"/>
      <c r="T152" s="1160"/>
      <c r="U152" s="1160"/>
      <c r="V152" s="544"/>
      <c r="W152" s="1160"/>
      <c r="X152" s="1160"/>
      <c r="Y152" s="1160"/>
      <c r="Z152" s="1160"/>
      <c r="AA152" s="1160"/>
      <c r="AB152" s="1632"/>
      <c r="AC152" s="566"/>
      <c r="AD152" s="566"/>
      <c r="AE152" s="566"/>
      <c r="AF152" s="566"/>
      <c r="AG152" s="1641">
        <v>11</v>
      </c>
    </row>
    <row s="1641" customFormat="1" customHeight="1" ht="11.549999999999999">
      <c r="A153" s="987"/>
      <c r="B153" s="1636"/>
      <c r="C153" s="1636"/>
      <c r="D153" s="351"/>
      <c r="J153" s="1641"/>
      <c r="L153" s="1160"/>
      <c r="M153" s="1636"/>
      <c r="N153" s="1636"/>
      <c r="O153" s="1160"/>
      <c r="P153" s="1160"/>
      <c r="Q153" s="1160"/>
      <c r="R153" s="1160"/>
      <c r="S153" s="1636"/>
      <c r="T153" s="1160"/>
      <c r="U153" s="1160"/>
      <c r="V153" s="544"/>
      <c r="W153" s="1160"/>
      <c r="X153" s="1160"/>
      <c r="Y153" s="1160"/>
      <c r="Z153" s="1160"/>
      <c r="AA153" s="1160"/>
      <c r="AB153" s="1632"/>
      <c r="AC153" s="566"/>
      <c r="AD153" s="566"/>
      <c r="AE153" s="566"/>
      <c r="AF153" s="566"/>
      <c r="AG153" s="1641">
        <v>11</v>
      </c>
    </row>
    <row s="1641" customFormat="1" customHeight="1" ht="11.549999999999999">
      <c r="A154" s="987"/>
      <c r="B154" s="1636"/>
      <c r="C154" s="1636"/>
      <c r="D154" s="351"/>
      <c r="J154" s="1641"/>
      <c r="L154" s="1160"/>
      <c r="M154" s="1636"/>
      <c r="N154" s="1636"/>
      <c r="O154" s="1160"/>
      <c r="P154" s="1160"/>
      <c r="Q154" s="1160"/>
      <c r="R154" s="1160"/>
      <c r="S154" s="1636"/>
      <c r="T154" s="1160"/>
      <c r="U154" s="1160"/>
      <c r="V154" s="544"/>
      <c r="W154" s="1160"/>
      <c r="X154" s="1160"/>
      <c r="Y154" s="1160"/>
      <c r="Z154" s="1160"/>
      <c r="AA154" s="1160"/>
      <c r="AB154" s="1632"/>
      <c r="AC154" s="566"/>
      <c r="AD154" s="566"/>
      <c r="AE154" s="566"/>
      <c r="AF154" s="566"/>
      <c r="AG154" s="1641">
        <v>11</v>
      </c>
    </row>
    <row s="1641" customFormat="1" customHeight="1" ht="11.549999999999999">
      <c r="A155" s="987"/>
      <c r="B155" s="1636"/>
      <c r="C155" s="1636"/>
      <c r="D155" s="351"/>
      <c r="J155" s="1641"/>
      <c r="L155" s="1160"/>
      <c r="M155" s="1636"/>
      <c r="N155" s="1636"/>
      <c r="O155" s="1160"/>
      <c r="P155" s="1160"/>
      <c r="Q155" s="1160"/>
      <c r="R155" s="1160"/>
      <c r="S155" s="1636"/>
      <c r="T155" s="1160"/>
      <c r="U155" s="1160"/>
      <c r="V155" s="544"/>
      <c r="W155" s="1160"/>
      <c r="X155" s="1160"/>
      <c r="Y155" s="1160"/>
      <c r="Z155" s="1160"/>
      <c r="AA155" s="1160"/>
      <c r="AB155" s="1632"/>
      <c r="AC155" s="566"/>
      <c r="AD155" s="566"/>
      <c r="AE155" s="566"/>
      <c r="AF155" s="566"/>
      <c r="AG155" s="1641">
        <v>11</v>
      </c>
    </row>
    <row s="1641" customFormat="1" customHeight="1" ht="11.549999999999999">
      <c r="A156" s="987"/>
      <c r="B156" s="1636"/>
      <c r="C156" s="1636"/>
      <c r="D156" s="351"/>
      <c r="J156" s="1641"/>
      <c r="L156" s="1160"/>
      <c r="M156" s="1636"/>
      <c r="N156" s="1636"/>
      <c r="O156" s="1160"/>
      <c r="P156" s="1160"/>
      <c r="Q156" s="1160"/>
      <c r="R156" s="1160"/>
      <c r="S156" s="1636"/>
      <c r="T156" s="1160"/>
      <c r="U156" s="1160"/>
      <c r="V156" s="544"/>
      <c r="W156" s="1160"/>
      <c r="X156" s="1160"/>
      <c r="Y156" s="1160"/>
      <c r="Z156" s="1160"/>
      <c r="AA156" s="1160"/>
      <c r="AB156" s="1632"/>
      <c r="AC156" s="566"/>
      <c r="AD156" s="566"/>
      <c r="AE156" s="566"/>
      <c r="AF156" s="566"/>
      <c r="AG156" s="1641">
        <v>11</v>
      </c>
    </row>
    <row s="1641" customFormat="1" customHeight="1" ht="11.549999999999999">
      <c r="A157" s="987"/>
      <c r="B157" s="1636"/>
      <c r="C157" s="1636"/>
      <c r="D157" s="351"/>
      <c r="J157" s="1641"/>
      <c r="L157" s="1160"/>
      <c r="M157" s="1636"/>
      <c r="N157" s="1636"/>
      <c r="O157" s="1160"/>
      <c r="P157" s="1160"/>
      <c r="Q157" s="1160"/>
      <c r="R157" s="1160"/>
      <c r="S157" s="1636"/>
      <c r="T157" s="1160"/>
      <c r="U157" s="1160"/>
      <c r="V157" s="544"/>
      <c r="W157" s="1160"/>
      <c r="X157" s="1160"/>
      <c r="Y157" s="1160"/>
      <c r="Z157" s="1160"/>
      <c r="AA157" s="1160"/>
      <c r="AB157" s="1632"/>
      <c r="AC157" s="566"/>
      <c r="AD157" s="566"/>
      <c r="AE157" s="566"/>
      <c r="AF157" s="566"/>
      <c r="AG157" s="1641">
        <v>11</v>
      </c>
    </row>
    <row s="1641" customFormat="1" customHeight="1" ht="11.549999999999999">
      <c r="A158" s="987"/>
      <c r="B158" s="1636"/>
      <c r="C158" s="1636"/>
      <c r="D158" s="351"/>
      <c r="J158" s="1641"/>
      <c r="L158" s="1160"/>
      <c r="M158" s="1636"/>
      <c r="N158" s="1636"/>
      <c r="O158" s="1160"/>
      <c r="P158" s="1160"/>
      <c r="Q158" s="1160"/>
      <c r="R158" s="1160"/>
      <c r="S158" s="1636"/>
      <c r="T158" s="1160"/>
      <c r="U158" s="1160"/>
      <c r="V158" s="544"/>
      <c r="W158" s="1160"/>
      <c r="X158" s="1160"/>
      <c r="Y158" s="1160"/>
      <c r="Z158" s="1160"/>
      <c r="AA158" s="1160"/>
      <c r="AB158" s="1632"/>
      <c r="AC158" s="566"/>
      <c r="AD158" s="566"/>
      <c r="AE158" s="566"/>
      <c r="AF158" s="566"/>
      <c r="AG158" s="1641">
        <v>11</v>
      </c>
    </row>
    <row s="1641" customFormat="1" customHeight="1" ht="11.549999999999999">
      <c r="A159" s="987"/>
      <c r="B159" s="1636"/>
      <c r="C159" s="1636"/>
      <c r="D159" s="351"/>
      <c r="J159" s="1641"/>
      <c r="L159" s="1160"/>
      <c r="M159" s="1636"/>
      <c r="N159" s="1636"/>
      <c r="O159" s="1160"/>
      <c r="P159" s="1160"/>
      <c r="Q159" s="1160"/>
      <c r="R159" s="1160"/>
      <c r="S159" s="1636"/>
      <c r="T159" s="1160"/>
      <c r="U159" s="1160"/>
      <c r="V159" s="544"/>
      <c r="W159" s="1160"/>
      <c r="X159" s="1160"/>
      <c r="Y159" s="1160"/>
      <c r="Z159" s="1160"/>
      <c r="AA159" s="1160"/>
      <c r="AB159" s="1632"/>
      <c r="AC159" s="566"/>
      <c r="AD159" s="566"/>
      <c r="AE159" s="566"/>
      <c r="AF159" s="566"/>
      <c r="AG159" s="1641">
        <v>11</v>
      </c>
    </row>
    <row s="1641" customFormat="1" customHeight="1" ht="11.549999999999999">
      <c r="A160" s="987"/>
      <c r="B160" s="1636"/>
      <c r="C160" s="1636"/>
      <c r="D160" s="351"/>
      <c r="J160" s="1641"/>
      <c r="L160" s="1160"/>
      <c r="M160" s="1636"/>
      <c r="N160" s="1636"/>
      <c r="O160" s="1160"/>
      <c r="P160" s="1160"/>
      <c r="Q160" s="1160"/>
      <c r="R160" s="1160"/>
      <c r="S160" s="1636"/>
      <c r="T160" s="1160"/>
      <c r="U160" s="1160"/>
      <c r="V160" s="544"/>
      <c r="W160" s="1160"/>
      <c r="X160" s="1160"/>
      <c r="Y160" s="1160"/>
      <c r="Z160" s="1160"/>
      <c r="AA160" s="1160"/>
      <c r="AB160" s="1632"/>
      <c r="AC160" s="566"/>
      <c r="AD160" s="566"/>
      <c r="AE160" s="566"/>
      <c r="AF160" s="566"/>
      <c r="AG160" s="1641">
        <v>11</v>
      </c>
    </row>
    <row s="1641" customFormat="1" customHeight="1" ht="11.549999999999999">
      <c r="A161" s="987"/>
      <c r="B161" s="1636"/>
      <c r="C161" s="1636"/>
      <c r="D161" s="351"/>
      <c r="J161" s="1641"/>
      <c r="L161" s="1160"/>
      <c r="M161" s="1636"/>
      <c r="N161" s="1636"/>
      <c r="O161" s="1160"/>
      <c r="P161" s="1160"/>
      <c r="Q161" s="1160"/>
      <c r="R161" s="1160"/>
      <c r="S161" s="1636"/>
      <c r="T161" s="1160"/>
      <c r="U161" s="1160"/>
      <c r="V161" s="544"/>
      <c r="W161" s="1160"/>
      <c r="X161" s="1160"/>
      <c r="Y161" s="1160"/>
      <c r="Z161" s="1160"/>
      <c r="AA161" s="1160"/>
      <c r="AB161" s="1632"/>
      <c r="AC161" s="566"/>
      <c r="AD161" s="566"/>
      <c r="AE161" s="566"/>
      <c r="AF161" s="566"/>
      <c r="AG161" s="1641">
        <v>11</v>
      </c>
    </row>
    <row s="1641" customFormat="1" customHeight="1" ht="11.549999999999999">
      <c r="A162" s="987"/>
      <c r="B162" s="1636"/>
      <c r="C162" s="1636"/>
      <c r="D162" s="351"/>
      <c r="J162" s="1641"/>
      <c r="L162" s="1160"/>
      <c r="M162" s="1636"/>
      <c r="N162" s="1636"/>
      <c r="O162" s="1160"/>
      <c r="P162" s="1160"/>
      <c r="Q162" s="1160"/>
      <c r="R162" s="1160"/>
      <c r="S162" s="1636"/>
      <c r="T162" s="1160"/>
      <c r="U162" s="1160"/>
      <c r="V162" s="544"/>
      <c r="W162" s="1160"/>
      <c r="X162" s="1160"/>
      <c r="Y162" s="1160"/>
      <c r="Z162" s="1160"/>
      <c r="AA162" s="1160"/>
      <c r="AB162" s="1632"/>
      <c r="AC162" s="566"/>
      <c r="AD162" s="566"/>
      <c r="AE162" s="566"/>
      <c r="AF162" s="566"/>
      <c r="AG162" s="1641">
        <v>11</v>
      </c>
    </row>
    <row s="1641" customFormat="1" customHeight="1" ht="11.549999999999999">
      <c r="A163" s="987"/>
      <c r="B163" s="1636"/>
      <c r="C163" s="1636"/>
      <c r="D163" s="351"/>
      <c r="J163" s="1641"/>
      <c r="L163" s="1160"/>
      <c r="M163" s="1636"/>
      <c r="N163" s="1636"/>
      <c r="O163" s="1160"/>
      <c r="P163" s="1160"/>
      <c r="Q163" s="1160"/>
      <c r="R163" s="1160"/>
      <c r="S163" s="1636"/>
      <c r="T163" s="1160"/>
      <c r="U163" s="1160"/>
      <c r="V163" s="544"/>
      <c r="W163" s="1160"/>
      <c r="X163" s="1160"/>
      <c r="Y163" s="1160"/>
      <c r="Z163" s="1160"/>
      <c r="AA163" s="1160"/>
      <c r="AB163" s="1632"/>
      <c r="AC163" s="566"/>
      <c r="AD163" s="566"/>
      <c r="AE163" s="566"/>
      <c r="AF163" s="566"/>
      <c r="AG163" s="1641">
        <v>11</v>
      </c>
    </row>
    <row s="1641" customFormat="1" customHeight="1" ht="11.549999999999999">
      <c r="A164" s="987"/>
      <c r="B164" s="1636"/>
      <c r="C164" s="1636"/>
      <c r="D164" s="351"/>
      <c r="J164" s="1641"/>
      <c r="L164" s="1160"/>
      <c r="M164" s="1636"/>
      <c r="N164" s="1636"/>
      <c r="O164" s="1160"/>
      <c r="P164" s="1160"/>
      <c r="Q164" s="1160"/>
      <c r="R164" s="1160"/>
      <c r="S164" s="1636"/>
      <c r="T164" s="1160"/>
      <c r="U164" s="1160"/>
      <c r="V164" s="544"/>
      <c r="W164" s="1160"/>
      <c r="X164" s="1160"/>
      <c r="Y164" s="1160"/>
      <c r="Z164" s="1160"/>
      <c r="AA164" s="1160"/>
      <c r="AB164" s="1632"/>
      <c r="AC164" s="566"/>
      <c r="AD164" s="566"/>
      <c r="AE164" s="566"/>
      <c r="AF164" s="566"/>
      <c r="AG164" s="1641">
        <v>11</v>
      </c>
    </row>
    <row s="1641" customFormat="1" customHeight="1" ht="11.549999999999999">
      <c r="A165" s="987"/>
      <c r="B165" s="1636"/>
      <c r="C165" s="1636"/>
      <c r="D165" s="351"/>
      <c r="J165" s="1641"/>
      <c r="L165" s="1160"/>
      <c r="M165" s="1636"/>
      <c r="N165" s="1636"/>
      <c r="O165" s="1160"/>
      <c r="P165" s="1160"/>
      <c r="Q165" s="1160"/>
      <c r="R165" s="1160"/>
      <c r="S165" s="1636"/>
      <c r="T165" s="1160"/>
      <c r="U165" s="1160"/>
      <c r="V165" s="544"/>
      <c r="W165" s="1160"/>
      <c r="X165" s="1160"/>
      <c r="Y165" s="1160"/>
      <c r="Z165" s="1160"/>
      <c r="AA165" s="1160"/>
      <c r="AB165" s="1632"/>
      <c r="AC165" s="566"/>
      <c r="AD165" s="566"/>
      <c r="AE165" s="566"/>
      <c r="AF165" s="566"/>
      <c r="AG165" s="1641">
        <v>11</v>
      </c>
    </row>
    <row s="1641" customFormat="1" customHeight="1" ht="11.549999999999999">
      <c r="A166" s="987"/>
      <c r="B166" s="1636"/>
      <c r="C166" s="1636"/>
      <c r="D166" s="351"/>
      <c r="J166" s="1641"/>
      <c r="L166" s="1160"/>
      <c r="M166" s="1636"/>
      <c r="N166" s="1636"/>
      <c r="O166" s="1160"/>
      <c r="P166" s="1160"/>
      <c r="Q166" s="1160"/>
      <c r="R166" s="1160"/>
      <c r="S166" s="1636"/>
      <c r="T166" s="1160"/>
      <c r="U166" s="1160"/>
      <c r="V166" s="544"/>
      <c r="W166" s="1160"/>
      <c r="X166" s="1160"/>
      <c r="Y166" s="1160"/>
      <c r="Z166" s="1160"/>
      <c r="AA166" s="1160"/>
      <c r="AB166" s="1632"/>
      <c r="AC166" s="566"/>
      <c r="AD166" s="566"/>
      <c r="AE166" s="566"/>
      <c r="AF166" s="566"/>
      <c r="AG166" s="1641">
        <v>11</v>
      </c>
    </row>
    <row s="1641" customFormat="1" customHeight="1" ht="11.549999999999999">
      <c r="A167" s="987"/>
      <c r="B167" s="1636"/>
      <c r="C167" s="1636"/>
      <c r="D167" s="351"/>
      <c r="J167" s="1641"/>
      <c r="L167" s="1160"/>
      <c r="M167" s="1636"/>
      <c r="N167" s="1636"/>
      <c r="O167" s="1160"/>
      <c r="P167" s="1160"/>
      <c r="Q167" s="1160"/>
      <c r="R167" s="1160"/>
      <c r="S167" s="1636"/>
      <c r="T167" s="1160"/>
      <c r="U167" s="1160"/>
      <c r="V167" s="544"/>
      <c r="W167" s="1160"/>
      <c r="X167" s="1160"/>
      <c r="Y167" s="1160"/>
      <c r="Z167" s="1160"/>
      <c r="AA167" s="1160"/>
      <c r="AB167" s="1632"/>
      <c r="AC167" s="566"/>
      <c r="AD167" s="566"/>
      <c r="AE167" s="566"/>
      <c r="AF167" s="566"/>
      <c r="AG167" s="1641">
        <v>11</v>
      </c>
    </row>
    <row s="1641" customFormat="1" customHeight="1" ht="11.549999999999999">
      <c r="A168" s="987"/>
      <c r="B168" s="1636"/>
      <c r="C168" s="1636"/>
      <c r="D168" s="351"/>
      <c r="J168" s="1641"/>
      <c r="L168" s="1160"/>
      <c r="M168" s="1636"/>
      <c r="N168" s="1636"/>
      <c r="O168" s="1160"/>
      <c r="P168" s="1160"/>
      <c r="Q168" s="1160"/>
      <c r="R168" s="1160"/>
      <c r="S168" s="1636"/>
      <c r="T168" s="1160"/>
      <c r="U168" s="1160"/>
      <c r="V168" s="544"/>
      <c r="W168" s="1160"/>
      <c r="X168" s="1160"/>
      <c r="Y168" s="1160"/>
      <c r="Z168" s="1160"/>
      <c r="AA168" s="1160"/>
      <c r="AB168" s="1632"/>
      <c r="AC168" s="566"/>
      <c r="AD168" s="566"/>
      <c r="AE168" s="566"/>
      <c r="AF168" s="566"/>
      <c r="AG168" s="1641">
        <v>11</v>
      </c>
    </row>
    <row s="1641" customFormat="1" customHeight="1" ht="11.549999999999999">
      <c r="A169" s="987"/>
      <c r="B169" s="1636"/>
      <c r="C169" s="1636"/>
      <c r="D169" s="351"/>
      <c r="J169" s="1641"/>
      <c r="L169" s="1160"/>
      <c r="M169" s="1636"/>
      <c r="N169" s="1636"/>
      <c r="O169" s="1160"/>
      <c r="P169" s="1160"/>
      <c r="Q169" s="1160"/>
      <c r="R169" s="1160"/>
      <c r="S169" s="1636"/>
      <c r="T169" s="1160"/>
      <c r="U169" s="1160"/>
      <c r="V169" s="544"/>
      <c r="W169" s="1160"/>
      <c r="X169" s="1160"/>
      <c r="Y169" s="1160"/>
      <c r="Z169" s="1160"/>
      <c r="AA169" s="1160"/>
      <c r="AB169" s="1632"/>
      <c r="AC169" s="566"/>
      <c r="AD169" s="566"/>
      <c r="AE169" s="566"/>
      <c r="AF169" s="566"/>
      <c r="AG169" s="1641">
        <v>11</v>
      </c>
    </row>
    <row s="1641" customFormat="1" customHeight="1" ht="11.549999999999999">
      <c r="A170" s="987"/>
      <c r="B170" s="1636"/>
      <c r="C170" s="1636"/>
      <c r="D170" s="351"/>
      <c r="J170" s="1641"/>
      <c r="L170" s="1160"/>
      <c r="M170" s="1636"/>
      <c r="N170" s="1636"/>
      <c r="O170" s="1160"/>
      <c r="P170" s="1160"/>
      <c r="Q170" s="1160"/>
      <c r="R170" s="1160"/>
      <c r="S170" s="1636"/>
      <c r="T170" s="1160"/>
      <c r="U170" s="1160"/>
      <c r="V170" s="544"/>
      <c r="W170" s="1160"/>
      <c r="X170" s="1160"/>
      <c r="Y170" s="1160"/>
      <c r="Z170" s="1160"/>
      <c r="AA170" s="1160"/>
      <c r="AB170" s="1632"/>
      <c r="AC170" s="566"/>
      <c r="AD170" s="566"/>
      <c r="AE170" s="566"/>
      <c r="AF170" s="566"/>
      <c r="AG170" s="1641">
        <v>11</v>
      </c>
    </row>
    <row s="1641" customFormat="1" customHeight="1" ht="11.549999999999999">
      <c r="A171" s="987"/>
      <c r="B171" s="1636"/>
      <c r="C171" s="1636"/>
      <c r="D171" s="351"/>
      <c r="J171" s="1641"/>
      <c r="L171" s="1160"/>
      <c r="M171" s="1636"/>
      <c r="N171" s="1636"/>
      <c r="O171" s="1160"/>
      <c r="P171" s="1160"/>
      <c r="Q171" s="1160"/>
      <c r="R171" s="1160"/>
      <c r="S171" s="1636"/>
      <c r="T171" s="1160"/>
      <c r="U171" s="1160"/>
      <c r="V171" s="544"/>
      <c r="W171" s="1160"/>
      <c r="X171" s="1160"/>
      <c r="Y171" s="1160"/>
      <c r="Z171" s="1160"/>
      <c r="AA171" s="1160"/>
      <c r="AB171" s="1632"/>
      <c r="AC171" s="566"/>
      <c r="AD171" s="566"/>
      <c r="AE171" s="566"/>
      <c r="AF171" s="566"/>
      <c r="AG171" s="1641">
        <v>11</v>
      </c>
    </row>
    <row s="1641" customFormat="1" customHeight="1" ht="11.549999999999999">
      <c r="A172" s="987"/>
      <c r="B172" s="1636"/>
      <c r="C172" s="1636"/>
      <c r="D172" s="351"/>
      <c r="J172" s="1641"/>
      <c r="L172" s="1160"/>
      <c r="M172" s="1636"/>
      <c r="N172" s="1636"/>
      <c r="O172" s="1160"/>
      <c r="P172" s="1160"/>
      <c r="Q172" s="1160"/>
      <c r="R172" s="1160"/>
      <c r="S172" s="1636"/>
      <c r="T172" s="1160"/>
      <c r="U172" s="1160"/>
      <c r="V172" s="544"/>
      <c r="W172" s="1160"/>
      <c r="X172" s="1160"/>
      <c r="Y172" s="1160"/>
      <c r="Z172" s="1160"/>
      <c r="AA172" s="1160"/>
      <c r="AB172" s="1632"/>
      <c r="AC172" s="566"/>
      <c r="AD172" s="566"/>
      <c r="AE172" s="566"/>
      <c r="AF172" s="566"/>
      <c r="AG172" s="1641">
        <v>11</v>
      </c>
    </row>
    <row s="1641" customFormat="1" customHeight="1" ht="11.549999999999999">
      <c r="A173" s="987"/>
      <c r="B173" s="1636"/>
      <c r="C173" s="1636"/>
      <c r="D173" s="351"/>
      <c r="J173" s="1641"/>
      <c r="L173" s="1160"/>
      <c r="M173" s="1636"/>
      <c r="N173" s="1636"/>
      <c r="O173" s="1160"/>
      <c r="P173" s="1160"/>
      <c r="Q173" s="1160"/>
      <c r="R173" s="1160"/>
      <c r="S173" s="1636"/>
      <c r="T173" s="1160"/>
      <c r="U173" s="1160"/>
      <c r="V173" s="544"/>
      <c r="W173" s="1160"/>
      <c r="X173" s="1160"/>
      <c r="Y173" s="1160"/>
      <c r="Z173" s="1160"/>
      <c r="AA173" s="1160"/>
      <c r="AB173" s="1632"/>
      <c r="AC173" s="566"/>
      <c r="AD173" s="566"/>
      <c r="AE173" s="566"/>
      <c r="AF173" s="566"/>
      <c r="AG173" s="1641">
        <v>11</v>
      </c>
    </row>
    <row s="1641" customFormat="1" customHeight="1" ht="11.549999999999999">
      <c r="A174" s="987"/>
      <c r="B174" s="1636"/>
      <c r="C174" s="1636"/>
      <c r="D174" s="351"/>
      <c r="J174" s="1641"/>
      <c r="L174" s="1160"/>
      <c r="M174" s="1636"/>
      <c r="N174" s="1636"/>
      <c r="O174" s="1160"/>
      <c r="P174" s="1160"/>
      <c r="Q174" s="1160"/>
      <c r="R174" s="1160"/>
      <c r="S174" s="1636"/>
      <c r="T174" s="1160"/>
      <c r="U174" s="1160"/>
      <c r="V174" s="544"/>
      <c r="W174" s="1160"/>
      <c r="X174" s="1160"/>
      <c r="Y174" s="1160"/>
      <c r="Z174" s="1160"/>
      <c r="AA174" s="1160"/>
      <c r="AB174" s="1632"/>
      <c r="AC174" s="566"/>
      <c r="AD174" s="566"/>
      <c r="AE174" s="566"/>
      <c r="AF174" s="566"/>
      <c r="AG174" s="1641">
        <v>11</v>
      </c>
    </row>
    <row s="1641" customFormat="1" customHeight="1" ht="11.549999999999999">
      <c r="A175" s="987"/>
      <c r="B175" s="1636"/>
      <c r="C175" s="1636"/>
      <c r="D175" s="351"/>
      <c r="J175" s="1641"/>
      <c r="L175" s="1160"/>
      <c r="M175" s="1636"/>
      <c r="N175" s="1636"/>
      <c r="O175" s="1160"/>
      <c r="P175" s="1160"/>
      <c r="Q175" s="1160"/>
      <c r="R175" s="1160"/>
      <c r="S175" s="1636"/>
      <c r="T175" s="1160"/>
      <c r="U175" s="1160"/>
      <c r="V175" s="544"/>
      <c r="W175" s="1160"/>
      <c r="X175" s="1160"/>
      <c r="Y175" s="1160"/>
      <c r="Z175" s="1160"/>
      <c r="AA175" s="1160"/>
      <c r="AB175" s="1632"/>
      <c r="AC175" s="566"/>
      <c r="AD175" s="566"/>
      <c r="AE175" s="566"/>
      <c r="AF175" s="566"/>
      <c r="AG175" s="1641">
        <v>11</v>
      </c>
    </row>
    <row s="1641" customFormat="1" customHeight="1" ht="11.549999999999999">
      <c r="A176" s="987"/>
      <c r="B176" s="1636"/>
      <c r="C176" s="1636"/>
      <c r="D176" s="351"/>
      <c r="J176" s="1641"/>
      <c r="L176" s="1160"/>
      <c r="M176" s="1636"/>
      <c r="N176" s="1636"/>
      <c r="O176" s="1160"/>
      <c r="P176" s="1160"/>
      <c r="Q176" s="1160"/>
      <c r="R176" s="1160"/>
      <c r="S176" s="1636"/>
      <c r="T176" s="1160"/>
      <c r="U176" s="1160"/>
      <c r="V176" s="544"/>
      <c r="W176" s="1160"/>
      <c r="X176" s="1160"/>
      <c r="Y176" s="1160"/>
      <c r="Z176" s="1160"/>
      <c r="AA176" s="1160"/>
      <c r="AB176" s="1632"/>
      <c r="AC176" s="566"/>
      <c r="AD176" s="566"/>
      <c r="AE176" s="566"/>
      <c r="AF176" s="566"/>
      <c r="AG176" s="1641">
        <v>11</v>
      </c>
    </row>
    <row s="1641" customFormat="1" customHeight="1" ht="11.549999999999999">
      <c r="A177" s="987"/>
      <c r="B177" s="1636"/>
      <c r="C177" s="1636"/>
      <c r="D177" s="351"/>
      <c r="J177" s="1641"/>
      <c r="L177" s="1160"/>
      <c r="M177" s="1636"/>
      <c r="N177" s="1636"/>
      <c r="O177" s="1160"/>
      <c r="P177" s="1160"/>
      <c r="Q177" s="1160"/>
      <c r="R177" s="1160"/>
      <c r="S177" s="1636"/>
      <c r="T177" s="1160"/>
      <c r="U177" s="1160"/>
      <c r="V177" s="544"/>
      <c r="W177" s="1160"/>
      <c r="X177" s="1160"/>
      <c r="Y177" s="1160"/>
      <c r="Z177" s="1160"/>
      <c r="AA177" s="1160"/>
      <c r="AB177" s="1632"/>
      <c r="AC177" s="566"/>
      <c r="AD177" s="566"/>
      <c r="AE177" s="566"/>
      <c r="AF177" s="566"/>
      <c r="AG177" s="1641">
        <v>11</v>
      </c>
    </row>
    <row s="1641" customFormat="1" customHeight="1" ht="11.549999999999999">
      <c r="A178" s="987"/>
      <c r="B178" s="1636"/>
      <c r="C178" s="1636"/>
      <c r="D178" s="351"/>
      <c r="J178" s="1641"/>
      <c r="L178" s="1160"/>
      <c r="M178" s="1636"/>
      <c r="N178" s="1636"/>
      <c r="O178" s="1160"/>
      <c r="P178" s="1160"/>
      <c r="Q178" s="1160"/>
      <c r="R178" s="1160"/>
      <c r="S178" s="1636"/>
      <c r="T178" s="1160"/>
      <c r="U178" s="1160"/>
      <c r="V178" s="544"/>
      <c r="W178" s="1160"/>
      <c r="X178" s="1160"/>
      <c r="Y178" s="1160"/>
      <c r="Z178" s="1160"/>
      <c r="AA178" s="1160"/>
      <c r="AB178" s="1632"/>
      <c r="AC178" s="566"/>
      <c r="AD178" s="566"/>
      <c r="AE178" s="566"/>
      <c r="AF178" s="566"/>
      <c r="AG178" s="1641">
        <v>11</v>
      </c>
    </row>
    <row s="1641" customFormat="1" customHeight="1" ht="11.549999999999999">
      <c r="A179" s="987"/>
      <c r="B179" s="1636"/>
      <c r="C179" s="1636"/>
      <c r="D179" s="351"/>
      <c r="J179" s="1641"/>
      <c r="L179" s="1160"/>
      <c r="M179" s="1636"/>
      <c r="N179" s="1636"/>
      <c r="O179" s="1160"/>
      <c r="P179" s="1160"/>
      <c r="Q179" s="1160"/>
      <c r="R179" s="1160"/>
      <c r="S179" s="1636"/>
      <c r="T179" s="1160"/>
      <c r="U179" s="1160"/>
      <c r="V179" s="544"/>
      <c r="W179" s="1160"/>
      <c r="X179" s="1160"/>
      <c r="Y179" s="1160"/>
      <c r="Z179" s="1160"/>
      <c r="AA179" s="1160"/>
      <c r="AB179" s="1632"/>
      <c r="AC179" s="566"/>
      <c r="AD179" s="566"/>
      <c r="AE179" s="566"/>
      <c r="AF179" s="566"/>
      <c r="AG179" s="1641">
        <v>11</v>
      </c>
    </row>
    <row s="1641" customFormat="1" customHeight="1" ht="11.549999999999999">
      <c r="A180" s="987"/>
      <c r="B180" s="1636"/>
      <c r="C180" s="1636"/>
      <c r="D180" s="351"/>
      <c r="J180" s="1641"/>
      <c r="L180" s="1160"/>
      <c r="M180" s="1636"/>
      <c r="N180" s="1636"/>
      <c r="O180" s="1160"/>
      <c r="P180" s="1160"/>
      <c r="Q180" s="1160"/>
      <c r="R180" s="1160"/>
      <c r="S180" s="1636"/>
      <c r="T180" s="1160"/>
      <c r="U180" s="1160"/>
      <c r="V180" s="544"/>
      <c r="W180" s="1160"/>
      <c r="X180" s="1160"/>
      <c r="Y180" s="1160"/>
      <c r="Z180" s="1160"/>
      <c r="AA180" s="1160"/>
      <c r="AB180" s="1632"/>
      <c r="AC180" s="566"/>
      <c r="AD180" s="566"/>
      <c r="AE180" s="566"/>
      <c r="AF180" s="566"/>
      <c r="AG180" s="1641">
        <v>11</v>
      </c>
    </row>
    <row s="1641" customFormat="1" customHeight="1" ht="11.549999999999999">
      <c r="A181" s="987"/>
      <c r="B181" s="1636"/>
      <c r="C181" s="1636"/>
      <c r="D181" s="351"/>
      <c r="J181" s="1641"/>
      <c r="L181" s="1160"/>
      <c r="M181" s="1636"/>
      <c r="N181" s="1636"/>
      <c r="O181" s="1160"/>
      <c r="P181" s="1160"/>
      <c r="Q181" s="1160"/>
      <c r="R181" s="1160"/>
      <c r="S181" s="1636"/>
      <c r="T181" s="1160"/>
      <c r="U181" s="1160"/>
      <c r="V181" s="544"/>
      <c r="W181" s="1160"/>
      <c r="X181" s="1160"/>
      <c r="Y181" s="1160"/>
      <c r="Z181" s="1160"/>
      <c r="AA181" s="1160"/>
      <c r="AB181" s="1632"/>
      <c r="AC181" s="566"/>
      <c r="AD181" s="566"/>
      <c r="AE181" s="566"/>
      <c r="AF181" s="566"/>
      <c r="AG181" s="1641">
        <v>11</v>
      </c>
    </row>
    <row s="1641" customFormat="1" customHeight="1" ht="11.549999999999999">
      <c r="A182" s="987"/>
      <c r="B182" s="1636"/>
      <c r="C182" s="1636"/>
      <c r="D182" s="351"/>
      <c r="J182" s="1641"/>
      <c r="L182" s="1160"/>
      <c r="M182" s="1636"/>
      <c r="N182" s="1636"/>
      <c r="O182" s="1160"/>
      <c r="P182" s="1160"/>
      <c r="Q182" s="1160"/>
      <c r="R182" s="1160"/>
      <c r="S182" s="1636"/>
      <c r="T182" s="1160"/>
      <c r="U182" s="1160"/>
      <c r="V182" s="544"/>
      <c r="W182" s="1160"/>
      <c r="X182" s="1160"/>
      <c r="Y182" s="1160"/>
      <c r="Z182" s="1160"/>
      <c r="AA182" s="1160"/>
      <c r="AB182" s="1632"/>
      <c r="AC182" s="566"/>
      <c r="AD182" s="566"/>
      <c r="AE182" s="566"/>
      <c r="AF182" s="566"/>
      <c r="AG182" s="1641">
        <v>11</v>
      </c>
    </row>
    <row s="1641" customFormat="1" customHeight="1" ht="11.549999999999999">
      <c r="A183" s="987"/>
      <c r="B183" s="1636"/>
      <c r="C183" s="1636"/>
      <c r="D183" s="351"/>
      <c r="J183" s="1641"/>
      <c r="L183" s="1160"/>
      <c r="M183" s="1636"/>
      <c r="N183" s="1636"/>
      <c r="O183" s="1160"/>
      <c r="P183" s="1160"/>
      <c r="Q183" s="1160"/>
      <c r="R183" s="1160"/>
      <c r="S183" s="1636"/>
      <c r="T183" s="1160"/>
      <c r="U183" s="1160"/>
      <c r="V183" s="544"/>
      <c r="W183" s="1160"/>
      <c r="X183" s="1160"/>
      <c r="Y183" s="1160"/>
      <c r="Z183" s="1160"/>
      <c r="AA183" s="1160"/>
      <c r="AB183" s="1632"/>
      <c r="AC183" s="566"/>
      <c r="AD183" s="566"/>
      <c r="AE183" s="566"/>
      <c r="AF183" s="566"/>
      <c r="AG183" s="1641">
        <v>11</v>
      </c>
    </row>
    <row s="1641" customFormat="1" customHeight="1" ht="11.549999999999999">
      <c r="A184" s="987"/>
      <c r="B184" s="1636"/>
      <c r="C184" s="1636"/>
      <c r="D184" s="351"/>
      <c r="J184" s="1641"/>
      <c r="L184" s="1160"/>
      <c r="M184" s="1636"/>
      <c r="N184" s="1636"/>
      <c r="O184" s="1160"/>
      <c r="P184" s="1160"/>
      <c r="Q184" s="1160"/>
      <c r="R184" s="1160"/>
      <c r="S184" s="1636"/>
      <c r="T184" s="1160"/>
      <c r="U184" s="1160"/>
      <c r="V184" s="544"/>
      <c r="W184" s="1160"/>
      <c r="X184" s="1160"/>
      <c r="Y184" s="1160"/>
      <c r="Z184" s="1160"/>
      <c r="AA184" s="1160"/>
      <c r="AB184" s="1632"/>
      <c r="AC184" s="566"/>
      <c r="AD184" s="566"/>
      <c r="AE184" s="566"/>
      <c r="AF184" s="566"/>
      <c r="AG184" s="1641">
        <v>11</v>
      </c>
    </row>
    <row s="1641" customFormat="1" customHeight="1" ht="11.549999999999999">
      <c r="A185" s="987"/>
      <c r="B185" s="1636"/>
      <c r="C185" s="1636"/>
      <c r="D185" s="351"/>
      <c r="J185" s="1641"/>
      <c r="L185" s="1160"/>
      <c r="M185" s="1636"/>
      <c r="N185" s="1636"/>
      <c r="O185" s="1160"/>
      <c r="P185" s="1160"/>
      <c r="Q185" s="1160"/>
      <c r="R185" s="1160"/>
      <c r="S185" s="1636"/>
      <c r="T185" s="1160"/>
      <c r="U185" s="1160"/>
      <c r="V185" s="544"/>
      <c r="W185" s="1160"/>
      <c r="X185" s="1160"/>
      <c r="Y185" s="1160"/>
      <c r="Z185" s="1160"/>
      <c r="AA185" s="1160"/>
      <c r="AB185" s="1632"/>
      <c r="AC185" s="566"/>
      <c r="AD185" s="566"/>
      <c r="AE185" s="566"/>
      <c r="AF185" s="566"/>
      <c r="AG185" s="1641">
        <v>11</v>
      </c>
    </row>
    <row s="1641" customFormat="1" customHeight="1" ht="11.549999999999999">
      <c r="A186" s="987"/>
      <c r="B186" s="1636"/>
      <c r="C186" s="1636"/>
      <c r="D186" s="351"/>
      <c r="J186" s="1641"/>
      <c r="L186" s="1160"/>
      <c r="M186" s="1636"/>
      <c r="N186" s="1636"/>
      <c r="O186" s="1160"/>
      <c r="P186" s="1160"/>
      <c r="Q186" s="1160"/>
      <c r="R186" s="1160"/>
      <c r="S186" s="1636"/>
      <c r="T186" s="1160"/>
      <c r="U186" s="1160"/>
      <c r="V186" s="544"/>
      <c r="W186" s="1160"/>
      <c r="X186" s="1160"/>
      <c r="Y186" s="1160"/>
      <c r="Z186" s="1160"/>
      <c r="AA186" s="1160"/>
      <c r="AB186" s="1632"/>
      <c r="AC186" s="566"/>
      <c r="AD186" s="566"/>
      <c r="AE186" s="566"/>
      <c r="AF186" s="566"/>
      <c r="AG186" s="1641">
        <v>11</v>
      </c>
    </row>
    <row s="1641" customFormat="1" customHeight="1" ht="11.549999999999999">
      <c r="A187" s="987"/>
      <c r="B187" s="1636"/>
      <c r="C187" s="1636"/>
      <c r="D187" s="351"/>
      <c r="J187" s="1641"/>
      <c r="L187" s="1160"/>
      <c r="M187" s="1636"/>
      <c r="N187" s="1636"/>
      <c r="O187" s="1160"/>
      <c r="P187" s="1160"/>
      <c r="Q187" s="1160"/>
      <c r="R187" s="1160"/>
      <c r="S187" s="1636"/>
      <c r="T187" s="1160"/>
      <c r="U187" s="1160"/>
      <c r="V187" s="544"/>
      <c r="W187" s="1160"/>
      <c r="X187" s="1160"/>
      <c r="Y187" s="1160"/>
      <c r="Z187" s="1160"/>
      <c r="AA187" s="1160"/>
      <c r="AB187" s="1632"/>
      <c r="AC187" s="566"/>
      <c r="AD187" s="566"/>
      <c r="AE187" s="566"/>
      <c r="AF187" s="566"/>
      <c r="AG187" s="1641">
        <v>11</v>
      </c>
    </row>
    <row s="1641" customFormat="1" customHeight="1" ht="11.549999999999999">
      <c r="A188" s="987"/>
      <c r="B188" s="1636"/>
      <c r="C188" s="1636"/>
      <c r="D188" s="351"/>
      <c r="J188" s="1641"/>
      <c r="L188" s="1160"/>
      <c r="M188" s="1636"/>
      <c r="N188" s="1636"/>
      <c r="O188" s="1160"/>
      <c r="P188" s="1160"/>
      <c r="Q188" s="1160"/>
      <c r="R188" s="1160"/>
      <c r="S188" s="1636"/>
      <c r="T188" s="1160"/>
      <c r="U188" s="1160"/>
      <c r="V188" s="544"/>
      <c r="W188" s="1160"/>
      <c r="X188" s="1160"/>
      <c r="Y188" s="1160"/>
      <c r="Z188" s="1160"/>
      <c r="AA188" s="1160"/>
      <c r="AB188" s="1632"/>
      <c r="AC188" s="566"/>
      <c r="AD188" s="566"/>
      <c r="AE188" s="566"/>
      <c r="AF188" s="566"/>
      <c r="AG188" s="1641">
        <v>11</v>
      </c>
    </row>
    <row s="1641" customFormat="1" customHeight="1" ht="11.549999999999999">
      <c r="A189" s="987"/>
      <c r="B189" s="1636"/>
      <c r="C189" s="1636"/>
      <c r="D189" s="351"/>
      <c r="J189" s="1641"/>
      <c r="L189" s="1160"/>
      <c r="M189" s="1636"/>
      <c r="N189" s="1636"/>
      <c r="O189" s="1160"/>
      <c r="P189" s="1160"/>
      <c r="Q189" s="1160"/>
      <c r="R189" s="1160"/>
      <c r="S189" s="1636"/>
      <c r="T189" s="1160"/>
      <c r="U189" s="1160"/>
      <c r="V189" s="544"/>
      <c r="W189" s="1160"/>
      <c r="X189" s="1160"/>
      <c r="Y189" s="1160"/>
      <c r="Z189" s="1160"/>
      <c r="AA189" s="1160"/>
      <c r="AB189" s="1632"/>
      <c r="AC189" s="566"/>
      <c r="AD189" s="566"/>
      <c r="AE189" s="566"/>
      <c r="AF189" s="566"/>
      <c r="AG189" s="1641">
        <v>11</v>
      </c>
    </row>
    <row s="1641" customFormat="1" customHeight="1" ht="11.549999999999999">
      <c r="A190" s="987"/>
      <c r="B190" s="1636"/>
      <c r="C190" s="1636"/>
      <c r="D190" s="351"/>
      <c r="J190" s="1641"/>
      <c r="L190" s="1160"/>
      <c r="M190" s="1636"/>
      <c r="N190" s="1636"/>
      <c r="O190" s="1160"/>
      <c r="P190" s="1160"/>
      <c r="Q190" s="1160"/>
      <c r="R190" s="1160"/>
      <c r="S190" s="1636"/>
      <c r="T190" s="1160"/>
      <c r="U190" s="1160"/>
      <c r="V190" s="544"/>
      <c r="W190" s="1160"/>
      <c r="X190" s="1160"/>
      <c r="Y190" s="1160"/>
      <c r="Z190" s="1160"/>
      <c r="AA190" s="1160"/>
      <c r="AB190" s="1632"/>
      <c r="AC190" s="566"/>
      <c r="AD190" s="566"/>
      <c r="AE190" s="566"/>
      <c r="AF190" s="566"/>
      <c r="AG190" s="1641">
        <v>11</v>
      </c>
    </row>
    <row s="1641" customFormat="1" customHeight="1" ht="11.549999999999999">
      <c r="A191" s="987"/>
      <c r="B191" s="1636"/>
      <c r="C191" s="1636"/>
      <c r="D191" s="351"/>
      <c r="J191" s="1641"/>
      <c r="L191" s="1160"/>
      <c r="M191" s="1636"/>
      <c r="N191" s="1636"/>
      <c r="O191" s="1160"/>
      <c r="P191" s="1160"/>
      <c r="Q191" s="1160"/>
      <c r="R191" s="1160"/>
      <c r="S191" s="1636"/>
      <c r="T191" s="1160"/>
      <c r="U191" s="1160"/>
      <c r="V191" s="544"/>
      <c r="W191" s="1160"/>
      <c r="X191" s="1160"/>
      <c r="Y191" s="1160"/>
      <c r="Z191" s="1160"/>
      <c r="AA191" s="1160"/>
      <c r="AB191" s="1632"/>
      <c r="AC191" s="566"/>
      <c r="AD191" s="566"/>
      <c r="AE191" s="566"/>
      <c r="AF191" s="566"/>
      <c r="AG191" s="1641">
        <v>11</v>
      </c>
    </row>
    <row s="1641" customFormat="1" customHeight="1" ht="11.549999999999999">
      <c r="A192" s="987"/>
      <c r="B192" s="1636"/>
      <c r="C192" s="1636"/>
      <c r="D192" s="351"/>
      <c r="J192" s="1641"/>
      <c r="L192" s="1160"/>
      <c r="M192" s="1636"/>
      <c r="N192" s="1636"/>
      <c r="O192" s="1160"/>
      <c r="P192" s="1160"/>
      <c r="Q192" s="1160"/>
      <c r="R192" s="1160"/>
      <c r="S192" s="1636"/>
      <c r="T192" s="1160"/>
      <c r="U192" s="1160"/>
      <c r="V192" s="544"/>
      <c r="W192" s="1160"/>
      <c r="X192" s="1160"/>
      <c r="Y192" s="1160"/>
      <c r="Z192" s="1160"/>
      <c r="AA192" s="1160"/>
      <c r="AB192" s="1632"/>
      <c r="AC192" s="566"/>
      <c r="AD192" s="566"/>
      <c r="AE192" s="566"/>
      <c r="AF192" s="566"/>
      <c r="AG192" s="1641">
        <v>11</v>
      </c>
    </row>
    <row s="1641" customFormat="1" customHeight="1" ht="11.549999999999999">
      <c r="A193" s="987"/>
      <c r="B193" s="1636"/>
      <c r="C193" s="1636"/>
      <c r="D193" s="351"/>
      <c r="J193" s="1641"/>
      <c r="L193" s="1160"/>
      <c r="M193" s="1636"/>
      <c r="N193" s="1636"/>
      <c r="O193" s="1160"/>
      <c r="P193" s="1160"/>
      <c r="Q193" s="1160"/>
      <c r="R193" s="1160"/>
      <c r="S193" s="1636"/>
      <c r="T193" s="1160"/>
      <c r="U193" s="1160"/>
      <c r="V193" s="544"/>
      <c r="W193" s="1160"/>
      <c r="X193" s="1160"/>
      <c r="Y193" s="1160"/>
      <c r="Z193" s="1160"/>
      <c r="AA193" s="1160"/>
      <c r="AB193" s="1632"/>
      <c r="AC193" s="566"/>
      <c r="AD193" s="566"/>
      <c r="AE193" s="566"/>
      <c r="AF193" s="566"/>
      <c r="AG193" s="1641">
        <v>11</v>
      </c>
    </row>
    <row s="1641" customFormat="1" customHeight="1" ht="11.549999999999999">
      <c r="A194" s="987"/>
      <c r="B194" s="1636"/>
      <c r="C194" s="1636"/>
      <c r="D194" s="351"/>
      <c r="J194" s="1641"/>
      <c r="L194" s="1160"/>
      <c r="M194" s="1636"/>
      <c r="N194" s="1636"/>
      <c r="O194" s="1160"/>
      <c r="P194" s="1160"/>
      <c r="Q194" s="1160"/>
      <c r="R194" s="1160"/>
      <c r="S194" s="1636"/>
      <c r="T194" s="1160"/>
      <c r="U194" s="1160"/>
      <c r="V194" s="544"/>
      <c r="W194" s="1160"/>
      <c r="X194" s="1160"/>
      <c r="Y194" s="1160"/>
      <c r="Z194" s="1160"/>
      <c r="AA194" s="1160"/>
      <c r="AB194" s="1632"/>
      <c r="AC194" s="566"/>
      <c r="AD194" s="566"/>
      <c r="AE194" s="566"/>
      <c r="AF194" s="566"/>
      <c r="AG194" s="1641">
        <v>11</v>
      </c>
    </row>
    <row s="1641" customFormat="1" customHeight="1" ht="11.549999999999999">
      <c r="A195" s="987"/>
      <c r="B195" s="1636"/>
      <c r="C195" s="1636"/>
      <c r="D195" s="351"/>
      <c r="J195" s="1641"/>
      <c r="L195" s="1160"/>
      <c r="M195" s="1636"/>
      <c r="N195" s="1636"/>
      <c r="O195" s="1160"/>
      <c r="P195" s="1160"/>
      <c r="Q195" s="1160"/>
      <c r="R195" s="1160"/>
      <c r="S195" s="1636"/>
      <c r="T195" s="1160"/>
      <c r="U195" s="1160"/>
      <c r="V195" s="544"/>
      <c r="W195" s="1160"/>
      <c r="X195" s="1160"/>
      <c r="Y195" s="1160"/>
      <c r="Z195" s="1160"/>
      <c r="AA195" s="1160"/>
      <c r="AB195" s="1632"/>
      <c r="AC195" s="566"/>
      <c r="AD195" s="566"/>
      <c r="AE195" s="566"/>
      <c r="AF195" s="566"/>
      <c r="AG195" s="1641">
        <v>11</v>
      </c>
    </row>
    <row s="1641" customFormat="1" customHeight="1" ht="11.549999999999999">
      <c r="A196" s="987"/>
      <c r="B196" s="1636"/>
      <c r="C196" s="1636"/>
      <c r="D196" s="351"/>
      <c r="J196" s="1641"/>
      <c r="L196" s="1160"/>
      <c r="M196" s="1636"/>
      <c r="N196" s="1636"/>
      <c r="O196" s="1160"/>
      <c r="P196" s="1160"/>
      <c r="Q196" s="1160"/>
      <c r="R196" s="1160"/>
      <c r="S196" s="1636"/>
      <c r="T196" s="1160"/>
      <c r="U196" s="1160"/>
      <c r="V196" s="544"/>
      <c r="W196" s="1160"/>
      <c r="X196" s="1160"/>
      <c r="Y196" s="1160"/>
      <c r="Z196" s="1160"/>
      <c r="AA196" s="1160"/>
      <c r="AB196" s="1632"/>
      <c r="AC196" s="566"/>
      <c r="AD196" s="566"/>
      <c r="AE196" s="566"/>
      <c r="AF196" s="566"/>
      <c r="AG196" s="1641">
        <v>11</v>
      </c>
    </row>
    <row s="1641" customFormat="1" customHeight="1" ht="11.549999999999999">
      <c r="A197" s="987"/>
      <c r="B197" s="1636"/>
      <c r="C197" s="1636"/>
      <c r="D197" s="351"/>
      <c r="J197" s="1641"/>
      <c r="L197" s="1160"/>
      <c r="M197" s="1636"/>
      <c r="N197" s="1636"/>
      <c r="O197" s="1160"/>
      <c r="P197" s="1160"/>
      <c r="Q197" s="1160"/>
      <c r="R197" s="1160"/>
      <c r="S197" s="1636"/>
      <c r="T197" s="1160"/>
      <c r="U197" s="1160"/>
      <c r="V197" s="544"/>
      <c r="W197" s="1160"/>
      <c r="X197" s="1160"/>
      <c r="Y197" s="1160"/>
      <c r="Z197" s="1160"/>
      <c r="AA197" s="1160"/>
      <c r="AB197" s="1632"/>
      <c r="AC197" s="566"/>
      <c r="AD197" s="566"/>
      <c r="AE197" s="566"/>
      <c r="AF197" s="566"/>
      <c r="AG197" s="1641">
        <v>11</v>
      </c>
    </row>
    <row s="1641" customFormat="1" customHeight="1" ht="11.549999999999999">
      <c r="A198" s="987"/>
      <c r="B198" s="1636"/>
      <c r="C198" s="1636"/>
      <c r="D198" s="351"/>
      <c r="J198" s="1641"/>
      <c r="L198" s="1160"/>
      <c r="M198" s="1636"/>
      <c r="N198" s="1636"/>
      <c r="O198" s="1160"/>
      <c r="P198" s="1160"/>
      <c r="Q198" s="1160"/>
      <c r="R198" s="1160"/>
      <c r="S198" s="1636"/>
      <c r="T198" s="1160"/>
      <c r="U198" s="1160"/>
      <c r="V198" s="544"/>
      <c r="W198" s="1160"/>
      <c r="X198" s="1160"/>
      <c r="Y198" s="1160"/>
      <c r="Z198" s="1160"/>
      <c r="AA198" s="1160"/>
      <c r="AB198" s="1632"/>
      <c r="AC198" s="566"/>
      <c r="AD198" s="566"/>
      <c r="AE198" s="566"/>
      <c r="AF198" s="566"/>
      <c r="AG198" s="1641">
        <v>11</v>
      </c>
    </row>
    <row s="1641" customFormat="1" customHeight="1" ht="11.549999999999999">
      <c r="A199" s="987"/>
      <c r="B199" s="1636"/>
      <c r="C199" s="1636"/>
      <c r="D199" s="351"/>
      <c r="J199" s="1641"/>
      <c r="L199" s="1160"/>
      <c r="M199" s="1636"/>
      <c r="N199" s="1636"/>
      <c r="O199" s="1160"/>
      <c r="P199" s="1160"/>
      <c r="Q199" s="1160"/>
      <c r="R199" s="1160"/>
      <c r="S199" s="1636"/>
      <c r="T199" s="1160"/>
      <c r="U199" s="1160"/>
      <c r="V199" s="544"/>
      <c r="W199" s="1160"/>
      <c r="X199" s="1160"/>
      <c r="Y199" s="1160"/>
      <c r="Z199" s="1160"/>
      <c r="AA199" s="1160"/>
      <c r="AB199" s="1632"/>
      <c r="AC199" s="566"/>
      <c r="AD199" s="566"/>
      <c r="AE199" s="566"/>
      <c r="AF199" s="566"/>
      <c r="AG199" s="1641">
        <v>11</v>
      </c>
    </row>
    <row s="1641" customFormat="1" customHeight="1" ht="11.549999999999999">
      <c r="A200" s="987"/>
      <c r="B200" s="1636"/>
      <c r="C200" s="1636"/>
      <c r="D200" s="351"/>
      <c r="J200" s="1641"/>
      <c r="L200" s="1160"/>
      <c r="M200" s="1636"/>
      <c r="N200" s="1636"/>
      <c r="O200" s="1160"/>
      <c r="P200" s="1160"/>
      <c r="Q200" s="1160"/>
      <c r="R200" s="1160"/>
      <c r="S200" s="1636"/>
      <c r="T200" s="1160"/>
      <c r="U200" s="1160"/>
      <c r="V200" s="544"/>
      <c r="W200" s="1160"/>
      <c r="X200" s="1160"/>
      <c r="Y200" s="1160"/>
      <c r="Z200" s="1160"/>
      <c r="AA200" s="1160"/>
      <c r="AB200" s="1632"/>
      <c r="AC200" s="566"/>
      <c r="AD200" s="566"/>
      <c r="AE200" s="566"/>
      <c r="AF200" s="566"/>
      <c r="AG200" s="1641">
        <v>11</v>
      </c>
    </row>
    <row s="1641" customFormat="1" customHeight="1" ht="11.549999999999999">
      <c r="A201" s="987"/>
      <c r="B201" s="1636"/>
      <c r="C201" s="1636"/>
      <c r="D201" s="351"/>
      <c r="J201" s="1641"/>
      <c r="L201" s="1160"/>
      <c r="M201" s="1636"/>
      <c r="N201" s="1636"/>
      <c r="O201" s="1160"/>
      <c r="P201" s="1160"/>
      <c r="Q201" s="1160"/>
      <c r="R201" s="1160"/>
      <c r="S201" s="1636"/>
      <c r="T201" s="1160"/>
      <c r="U201" s="1160"/>
      <c r="V201" s="544"/>
      <c r="W201" s="1160"/>
      <c r="X201" s="1160"/>
      <c r="Y201" s="1160"/>
      <c r="Z201" s="1160"/>
      <c r="AA201" s="1160"/>
      <c r="AB201" s="1632"/>
      <c r="AC201" s="566"/>
      <c r="AD201" s="566"/>
      <c r="AE201" s="566"/>
      <c r="AF201" s="566"/>
      <c r="AG201" s="1641">
        <v>11</v>
      </c>
    </row>
    <row s="1641" customFormat="1" customHeight="1" ht="11.549999999999999">
      <c r="A202" s="987"/>
      <c r="B202" s="1636"/>
      <c r="C202" s="1636"/>
      <c r="D202" s="351"/>
      <c r="J202" s="1641"/>
      <c r="L202" s="1160"/>
      <c r="M202" s="1636"/>
      <c r="N202" s="1636"/>
      <c r="O202" s="1160"/>
      <c r="P202" s="1160"/>
      <c r="Q202" s="1160"/>
      <c r="R202" s="1160"/>
      <c r="S202" s="1636"/>
      <c r="T202" s="1160"/>
      <c r="U202" s="1160"/>
      <c r="V202" s="544"/>
      <c r="W202" s="1160"/>
      <c r="X202" s="1160"/>
      <c r="Y202" s="1160"/>
      <c r="Z202" s="1160"/>
      <c r="AA202" s="1160"/>
      <c r="AB202" s="1632"/>
      <c r="AC202" s="566"/>
      <c r="AD202" s="566"/>
      <c r="AE202" s="566"/>
      <c r="AF202" s="566"/>
      <c r="AG202" s="1641">
        <v>11</v>
      </c>
    </row>
    <row s="1641" customFormat="1" customHeight="1" ht="11.549999999999999">
      <c r="A203" s="987"/>
      <c r="B203" s="1636"/>
      <c r="C203" s="1636"/>
      <c r="D203" s="351"/>
      <c r="J203" s="1641"/>
      <c r="L203" s="1160"/>
      <c r="M203" s="1636"/>
      <c r="N203" s="1636"/>
      <c r="O203" s="1160"/>
      <c r="P203" s="1160"/>
      <c r="Q203" s="1160"/>
      <c r="R203" s="1160"/>
      <c r="S203" s="1636"/>
      <c r="T203" s="1160"/>
      <c r="U203" s="1160"/>
      <c r="V203" s="544"/>
      <c r="W203" s="1160"/>
      <c r="X203" s="1160"/>
      <c r="Y203" s="1160"/>
      <c r="Z203" s="1160"/>
      <c r="AA203" s="1160"/>
      <c r="AB203" s="1632"/>
      <c r="AC203" s="566"/>
      <c r="AD203" s="566"/>
      <c r="AE203" s="566"/>
      <c r="AF203" s="566"/>
      <c r="AG203" s="1641">
        <v>11</v>
      </c>
    </row>
    <row s="1641" customFormat="1" customHeight="1" ht="11.549999999999999">
      <c r="A204" s="987"/>
      <c r="B204" s="1636"/>
      <c r="C204" s="1636"/>
      <c r="D204" s="351"/>
      <c r="J204" s="1641"/>
      <c r="L204" s="1160"/>
      <c r="M204" s="1636"/>
      <c r="N204" s="1636"/>
      <c r="O204" s="1160"/>
      <c r="P204" s="1160"/>
      <c r="Q204" s="1160"/>
      <c r="R204" s="1160"/>
      <c r="S204" s="1636"/>
      <c r="T204" s="1160"/>
      <c r="U204" s="1160"/>
      <c r="V204" s="544"/>
      <c r="W204" s="1160"/>
      <c r="X204" s="1160"/>
      <c r="Y204" s="1160"/>
      <c r="Z204" s="1160"/>
      <c r="AA204" s="1160"/>
      <c r="AB204" s="1632"/>
      <c r="AC204" s="566"/>
      <c r="AD204" s="566"/>
      <c r="AE204" s="566"/>
      <c r="AF204" s="566"/>
      <c r="AG204" s="1641">
        <v>11</v>
      </c>
    </row>
    <row s="1641" customFormat="1" customHeight="1" ht="11.549999999999999">
      <c r="A205" s="987"/>
      <c r="B205" s="1636"/>
      <c r="C205" s="1636"/>
      <c r="D205" s="351"/>
      <c r="J205" s="1641"/>
      <c r="L205" s="1160"/>
      <c r="M205" s="1636"/>
      <c r="N205" s="1636"/>
      <c r="O205" s="1160"/>
      <c r="P205" s="1160"/>
      <c r="Q205" s="1160"/>
      <c r="R205" s="1160"/>
      <c r="S205" s="1636"/>
      <c r="T205" s="1160"/>
      <c r="U205" s="1160"/>
      <c r="V205" s="544"/>
      <c r="W205" s="1160"/>
      <c r="X205" s="1160"/>
      <c r="Y205" s="1160"/>
      <c r="Z205" s="1160"/>
      <c r="AA205" s="1160"/>
      <c r="AB205" s="1632"/>
      <c r="AC205" s="566"/>
      <c r="AD205" s="566"/>
      <c r="AE205" s="566"/>
      <c r="AF205" s="566"/>
      <c r="AG205" s="1641">
        <v>11</v>
      </c>
    </row>
    <row s="1641" customFormat="1" customHeight="1" ht="11.549999999999999">
      <c r="A206" s="987"/>
      <c r="B206" s="1636"/>
      <c r="C206" s="1636"/>
      <c r="D206" s="351"/>
      <c r="J206" s="1641"/>
      <c r="L206" s="1160"/>
      <c r="M206" s="1636"/>
      <c r="N206" s="1636"/>
      <c r="O206" s="1160"/>
      <c r="P206" s="1160"/>
      <c r="Q206" s="1160"/>
      <c r="R206" s="1160"/>
      <c r="S206" s="1636"/>
      <c r="T206" s="1160"/>
      <c r="U206" s="1160"/>
      <c r="V206" s="544"/>
      <c r="W206" s="1160"/>
      <c r="X206" s="1160"/>
      <c r="Y206" s="1160"/>
      <c r="Z206" s="1160"/>
      <c r="AA206" s="1160"/>
      <c r="AB206" s="1632"/>
      <c r="AC206" s="566"/>
      <c r="AD206" s="566"/>
      <c r="AE206" s="566"/>
      <c r="AF206" s="566"/>
      <c r="AG206" s="1641">
        <v>11</v>
      </c>
    </row>
    <row s="1641" customFormat="1" customHeight="1" ht="11.549999999999999">
      <c r="A207" s="987"/>
      <c r="B207" s="1636"/>
      <c r="C207" s="1636"/>
      <c r="D207" s="351"/>
      <c r="J207" s="1641"/>
      <c r="L207" s="1160"/>
      <c r="M207" s="1636"/>
      <c r="N207" s="1636"/>
      <c r="O207" s="1160"/>
      <c r="P207" s="1160"/>
      <c r="Q207" s="1160"/>
      <c r="R207" s="1160"/>
      <c r="S207" s="1636"/>
      <c r="T207" s="1160"/>
      <c r="U207" s="1160"/>
      <c r="V207" s="544"/>
      <c r="W207" s="1160"/>
      <c r="X207" s="1160"/>
      <c r="Y207" s="1160"/>
      <c r="Z207" s="1160"/>
      <c r="AA207" s="1160"/>
      <c r="AB207" s="1632"/>
      <c r="AC207" s="566"/>
      <c r="AD207" s="566"/>
      <c r="AE207" s="566"/>
      <c r="AF207" s="566"/>
      <c r="AG207" s="1641">
        <v>11</v>
      </c>
    </row>
    <row s="1641" customFormat="1" customHeight="1" ht="11.549999999999999">
      <c r="A208" s="987"/>
      <c r="B208" s="1636"/>
      <c r="C208" s="1636"/>
      <c r="D208" s="351"/>
      <c r="J208" s="1641"/>
      <c r="L208" s="1160"/>
      <c r="M208" s="1636"/>
      <c r="N208" s="1636"/>
      <c r="O208" s="1160"/>
      <c r="P208" s="1160"/>
      <c r="Q208" s="1160"/>
      <c r="R208" s="1160"/>
      <c r="S208" s="1636"/>
      <c r="T208" s="1160"/>
      <c r="U208" s="1160"/>
      <c r="V208" s="544"/>
      <c r="W208" s="1160"/>
      <c r="X208" s="1160"/>
      <c r="Y208" s="1160"/>
      <c r="Z208" s="1160"/>
      <c r="AA208" s="1160"/>
      <c r="AB208" s="1632"/>
      <c r="AC208" s="566"/>
      <c r="AD208" s="566"/>
      <c r="AE208" s="566"/>
      <c r="AF208" s="566"/>
      <c r="AG208" s="1641">
        <v>11</v>
      </c>
    </row>
    <row s="1641" customFormat="1" customHeight="1" ht="11.549999999999999">
      <c r="A209" s="987"/>
      <c r="B209" s="1636"/>
      <c r="C209" s="1636"/>
      <c r="D209" s="351"/>
      <c r="J209" s="1641"/>
      <c r="L209" s="1160"/>
      <c r="M209" s="1636"/>
      <c r="N209" s="1636"/>
      <c r="O209" s="1160"/>
      <c r="P209" s="1160"/>
      <c r="Q209" s="1160"/>
      <c r="R209" s="1160"/>
      <c r="S209" s="1636"/>
      <c r="T209" s="1160"/>
      <c r="U209" s="1160"/>
      <c r="V209" s="544"/>
      <c r="W209" s="1160"/>
      <c r="X209" s="1160"/>
      <c r="Y209" s="1160"/>
      <c r="Z209" s="1160"/>
      <c r="AA209" s="1160"/>
      <c r="AB209" s="1632"/>
      <c r="AC209" s="566"/>
      <c r="AD209" s="566"/>
      <c r="AE209" s="566"/>
      <c r="AF209" s="566"/>
      <c r="AG209" s="1641">
        <v>11</v>
      </c>
    </row>
    <row s="1641" customFormat="1" customHeight="1" ht="11.549999999999999">
      <c r="A210" s="987"/>
      <c r="B210" s="1636"/>
      <c r="C210" s="1636"/>
      <c r="D210" s="351"/>
      <c r="J210" s="1641"/>
      <c r="L210" s="1160"/>
      <c r="M210" s="1636"/>
      <c r="N210" s="1636"/>
      <c r="O210" s="1160"/>
      <c r="P210" s="1160"/>
      <c r="Q210" s="1160"/>
      <c r="R210" s="1160"/>
      <c r="S210" s="1636"/>
      <c r="T210" s="1160"/>
      <c r="U210" s="1160"/>
      <c r="V210" s="544"/>
      <c r="W210" s="1160"/>
      <c r="X210" s="1160"/>
      <c r="Y210" s="1160"/>
      <c r="Z210" s="1160"/>
      <c r="AA210" s="1160"/>
      <c r="AB210" s="1632"/>
      <c r="AC210" s="566"/>
      <c r="AD210" s="566"/>
      <c r="AE210" s="566"/>
      <c r="AF210" s="566"/>
      <c r="AG210" s="1641">
        <v>11</v>
      </c>
    </row>
    <row s="1641" customFormat="1" customHeight="1" ht="11.549999999999999">
      <c r="A211" s="987"/>
      <c r="B211" s="1636"/>
      <c r="C211" s="1636"/>
      <c r="D211" s="351"/>
      <c r="J211" s="1641"/>
      <c r="L211" s="1160"/>
      <c r="M211" s="1636"/>
      <c r="N211" s="1636"/>
      <c r="O211" s="1160"/>
      <c r="P211" s="1160"/>
      <c r="Q211" s="1160"/>
      <c r="R211" s="1160"/>
      <c r="S211" s="1636"/>
      <c r="T211" s="1160"/>
      <c r="U211" s="1160"/>
      <c r="V211" s="544"/>
      <c r="W211" s="1160"/>
      <c r="X211" s="1160"/>
      <c r="Y211" s="1160"/>
      <c r="Z211" s="1160"/>
      <c r="AA211" s="1160"/>
      <c r="AB211" s="1632"/>
      <c r="AC211" s="566"/>
      <c r="AD211" s="566"/>
      <c r="AE211" s="566"/>
      <c r="AF211" s="566"/>
      <c r="AG211" s="1641">
        <v>11</v>
      </c>
    </row>
    <row s="1641" customFormat="1" customHeight="1" ht="11.549999999999999">
      <c r="A212" s="987"/>
      <c r="B212" s="1636"/>
      <c r="C212" s="1636"/>
      <c r="D212" s="351"/>
      <c r="J212" s="1641"/>
      <c r="L212" s="1160"/>
      <c r="M212" s="1636"/>
      <c r="N212" s="1636"/>
      <c r="O212" s="1160"/>
      <c r="P212" s="1160"/>
      <c r="Q212" s="1160"/>
      <c r="R212" s="1160"/>
      <c r="S212" s="1636"/>
      <c r="T212" s="1160"/>
      <c r="U212" s="1160"/>
      <c r="V212" s="544"/>
      <c r="W212" s="1160"/>
      <c r="X212" s="1160"/>
      <c r="Y212" s="1160"/>
      <c r="Z212" s="1160"/>
      <c r="AA212" s="1160"/>
      <c r="AB212" s="1632"/>
      <c r="AC212" s="566"/>
      <c r="AD212" s="566"/>
      <c r="AE212" s="566"/>
      <c r="AF212" s="566"/>
      <c r="AG212" s="1641">
        <v>11</v>
      </c>
    </row>
    <row s="1641" customFormat="1" customHeight="1" ht="11.549999999999999">
      <c r="A213" s="987"/>
      <c r="B213" s="1636"/>
      <c r="C213" s="1636"/>
      <c r="D213" s="351"/>
      <c r="J213" s="1641"/>
      <c r="L213" s="1160"/>
      <c r="M213" s="1636"/>
      <c r="N213" s="1636"/>
      <c r="O213" s="1160"/>
      <c r="P213" s="1160"/>
      <c r="Q213" s="1160"/>
      <c r="R213" s="1160"/>
      <c r="S213" s="1636"/>
      <c r="T213" s="1160"/>
      <c r="U213" s="1160"/>
      <c r="V213" s="544"/>
      <c r="W213" s="1160"/>
      <c r="X213" s="1160"/>
      <c r="Y213" s="1160"/>
      <c r="Z213" s="1160"/>
      <c r="AA213" s="1160"/>
      <c r="AB213" s="1632"/>
      <c r="AC213" s="566"/>
      <c r="AD213" s="566"/>
      <c r="AE213" s="566"/>
      <c r="AF213" s="566"/>
      <c r="AG213" s="1641">
        <v>11</v>
      </c>
    </row>
    <row s="1641" customFormat="1" customHeight="1" ht="11.549999999999999">
      <c r="A214" s="987"/>
      <c r="B214" s="1636"/>
      <c r="C214" s="1636"/>
      <c r="D214" s="351"/>
      <c r="J214" s="1641"/>
      <c r="L214" s="1160"/>
      <c r="M214" s="1636"/>
      <c r="N214" s="1636"/>
      <c r="O214" s="1160"/>
      <c r="P214" s="1160"/>
      <c r="Q214" s="1160"/>
      <c r="R214" s="1160"/>
      <c r="S214" s="1636"/>
      <c r="T214" s="1160"/>
      <c r="U214" s="1160"/>
      <c r="V214" s="544"/>
      <c r="W214" s="1160"/>
      <c r="X214" s="1160"/>
      <c r="Y214" s="1160"/>
      <c r="Z214" s="1160"/>
      <c r="AA214" s="1160"/>
      <c r="AB214" s="1632"/>
      <c r="AC214" s="566"/>
      <c r="AD214" s="566"/>
      <c r="AE214" s="566"/>
      <c r="AF214" s="566"/>
      <c r="AG214" s="1641">
        <v>11</v>
      </c>
    </row>
    <row s="1641" customFormat="1" customHeight="1" ht="11.549999999999999">
      <c r="A215" s="987"/>
      <c r="B215" s="1636"/>
      <c r="C215" s="1636"/>
      <c r="D215" s="351"/>
      <c r="J215" s="1641"/>
      <c r="L215" s="1160"/>
      <c r="M215" s="1636"/>
      <c r="N215" s="1636"/>
      <c r="O215" s="1160"/>
      <c r="P215" s="1160"/>
      <c r="Q215" s="1160"/>
      <c r="R215" s="1160"/>
      <c r="S215" s="1636"/>
      <c r="T215" s="1160"/>
      <c r="U215" s="1160"/>
      <c r="V215" s="544"/>
      <c r="W215" s="1160"/>
      <c r="X215" s="1160"/>
      <c r="Y215" s="1160"/>
      <c r="Z215" s="1160"/>
      <c r="AA215" s="1160"/>
      <c r="AB215" s="1632"/>
      <c r="AC215" s="566"/>
      <c r="AD215" s="566"/>
      <c r="AE215" s="566"/>
      <c r="AF215" s="566"/>
      <c r="AG215" s="1641">
        <v>11</v>
      </c>
    </row>
    <row s="1641" customFormat="1" customHeight="1" ht="11.549999999999999">
      <c r="A216" s="987"/>
      <c r="B216" s="1636"/>
      <c r="C216" s="1636"/>
      <c r="D216" s="351"/>
      <c r="J216" s="1641"/>
      <c r="L216" s="1160"/>
      <c r="M216" s="1636"/>
      <c r="N216" s="1636"/>
      <c r="O216" s="1160"/>
      <c r="P216" s="1160"/>
      <c r="Q216" s="1160"/>
      <c r="R216" s="1160"/>
      <c r="S216" s="1636"/>
      <c r="T216" s="1160"/>
      <c r="U216" s="1160"/>
      <c r="V216" s="544"/>
      <c r="W216" s="1160"/>
      <c r="X216" s="1160"/>
      <c r="Y216" s="1160"/>
      <c r="Z216" s="1160"/>
      <c r="AA216" s="1160"/>
      <c r="AB216" s="1632"/>
      <c r="AC216" s="566"/>
      <c r="AD216" s="566"/>
      <c r="AE216" s="566"/>
      <c r="AF216" s="566"/>
      <c r="AG216" s="1641">
        <v>11</v>
      </c>
    </row>
    <row s="1641" customFormat="1" customHeight="1" ht="11.549999999999999">
      <c r="A217" s="987"/>
      <c r="B217" s="1636"/>
      <c r="C217" s="1636"/>
      <c r="D217" s="351"/>
      <c r="J217" s="1641"/>
      <c r="L217" s="1160"/>
      <c r="M217" s="1636"/>
      <c r="N217" s="1636"/>
      <c r="O217" s="1160"/>
      <c r="P217" s="1160"/>
      <c r="Q217" s="1160"/>
      <c r="R217" s="1160"/>
      <c r="S217" s="1636"/>
      <c r="T217" s="1160"/>
      <c r="U217" s="1160"/>
      <c r="V217" s="544"/>
      <c r="W217" s="1160"/>
      <c r="X217" s="1160"/>
      <c r="Y217" s="1160"/>
      <c r="Z217" s="1160"/>
      <c r="AA217" s="1160"/>
      <c r="AB217" s="1632"/>
      <c r="AC217" s="566"/>
      <c r="AD217" s="566"/>
      <c r="AE217" s="566"/>
      <c r="AF217" s="566"/>
      <c r="AG217" s="1641">
        <v>11</v>
      </c>
    </row>
    <row s="1641" customFormat="1" customHeight="1" ht="11.549999999999999">
      <c r="A218" s="987"/>
      <c r="B218" s="1636"/>
      <c r="C218" s="1636"/>
      <c r="D218" s="351"/>
      <c r="J218" s="1641"/>
      <c r="L218" s="1160"/>
      <c r="M218" s="1636"/>
      <c r="N218" s="1636"/>
      <c r="O218" s="1160"/>
      <c r="P218" s="1160"/>
      <c r="Q218" s="1160"/>
      <c r="R218" s="1160"/>
      <c r="S218" s="1636"/>
      <c r="T218" s="1160"/>
      <c r="U218" s="1160"/>
      <c r="V218" s="544"/>
      <c r="W218" s="1160"/>
      <c r="X218" s="1160"/>
      <c r="Y218" s="1160"/>
      <c r="Z218" s="1160"/>
      <c r="AA218" s="1160"/>
      <c r="AB218" s="1632"/>
      <c r="AC218" s="566"/>
      <c r="AD218" s="566"/>
      <c r="AE218" s="566"/>
      <c r="AF218" s="566"/>
      <c r="AG218" s="1641">
        <v>11</v>
      </c>
    </row>
    <row s="1641" customFormat="1" customHeight="1" ht="11.549999999999999">
      <c r="A219" s="987"/>
      <c r="B219" s="1636"/>
      <c r="C219" s="1636"/>
      <c r="D219" s="351"/>
      <c r="J219" s="1641"/>
      <c r="L219" s="1160"/>
      <c r="M219" s="1636"/>
      <c r="N219" s="1636"/>
      <c r="O219" s="1160"/>
      <c r="P219" s="1160"/>
      <c r="Q219" s="1160"/>
      <c r="R219" s="1160"/>
      <c r="S219" s="1636"/>
      <c r="T219" s="1160"/>
      <c r="U219" s="1160"/>
      <c r="V219" s="544"/>
      <c r="W219" s="1160"/>
      <c r="X219" s="1160"/>
      <c r="Y219" s="1160"/>
      <c r="Z219" s="1160"/>
      <c r="AA219" s="1160"/>
      <c r="AB219" s="1632"/>
      <c r="AC219" s="566"/>
      <c r="AD219" s="566"/>
      <c r="AE219" s="566"/>
      <c r="AF219" s="566"/>
      <c r="AG219" s="1641">
        <v>11</v>
      </c>
    </row>
    <row s="1641" customFormat="1" customHeight="1" ht="11.549999999999999">
      <c r="A220" s="987"/>
      <c r="B220" s="1636"/>
      <c r="C220" s="1636"/>
      <c r="D220" s="351"/>
      <c r="J220" s="1641"/>
      <c r="L220" s="1160"/>
      <c r="M220" s="1636"/>
      <c r="N220" s="1636"/>
      <c r="O220" s="1160"/>
      <c r="P220" s="1160"/>
      <c r="Q220" s="1160"/>
      <c r="R220" s="1160"/>
      <c r="S220" s="1636"/>
      <c r="T220" s="1160"/>
      <c r="U220" s="1160"/>
      <c r="V220" s="544"/>
      <c r="W220" s="1160"/>
      <c r="X220" s="1160"/>
      <c r="Y220" s="1160"/>
      <c r="Z220" s="1160"/>
      <c r="AA220" s="1160"/>
      <c r="AB220" s="1632"/>
      <c r="AC220" s="566"/>
      <c r="AD220" s="566"/>
      <c r="AE220" s="566"/>
      <c r="AF220" s="566"/>
      <c r="AG220" s="1641">
        <v>11</v>
      </c>
    </row>
    <row s="1641" customFormat="1" customHeight="1" ht="11.549999999999999">
      <c r="A221" s="987"/>
      <c r="B221" s="1636"/>
      <c r="C221" s="1636"/>
      <c r="D221" s="351"/>
      <c r="J221" s="1641"/>
      <c r="L221" s="1160"/>
      <c r="M221" s="1636"/>
      <c r="N221" s="1636"/>
      <c r="O221" s="1160"/>
      <c r="P221" s="1160"/>
      <c r="Q221" s="1160"/>
      <c r="R221" s="1160"/>
      <c r="S221" s="1636"/>
      <c r="T221" s="1160"/>
      <c r="U221" s="1160"/>
      <c r="V221" s="544"/>
      <c r="W221" s="1160"/>
      <c r="X221" s="1160"/>
      <c r="Y221" s="1160"/>
      <c r="Z221" s="1160"/>
      <c r="AA221" s="1160"/>
      <c r="AB221" s="1632"/>
      <c r="AC221" s="566"/>
      <c r="AD221" s="566"/>
      <c r="AE221" s="566"/>
      <c r="AF221" s="566"/>
      <c r="AG221" s="1641">
        <v>11</v>
      </c>
    </row>
    <row s="1641" customFormat="1" customHeight="1" ht="11.549999999999999">
      <c r="A222" s="987"/>
      <c r="B222" s="1636"/>
      <c r="C222" s="1636"/>
      <c r="D222" s="351"/>
      <c r="J222" s="1641"/>
      <c r="L222" s="1160"/>
      <c r="M222" s="1636"/>
      <c r="N222" s="1636"/>
      <c r="O222" s="1160"/>
      <c r="P222" s="1160"/>
      <c r="Q222" s="1160"/>
      <c r="R222" s="1160"/>
      <c r="S222" s="1636"/>
      <c r="T222" s="1160"/>
      <c r="U222" s="1160"/>
      <c r="V222" s="544"/>
      <c r="W222" s="1160"/>
      <c r="X222" s="1160"/>
      <c r="Y222" s="1160"/>
      <c r="Z222" s="1160"/>
      <c r="AA222" s="1160"/>
      <c r="AB222" s="1632"/>
      <c r="AC222" s="566"/>
      <c r="AD222" s="566"/>
      <c r="AE222" s="566"/>
      <c r="AF222" s="566"/>
      <c r="AG222" s="1641">
        <v>11</v>
      </c>
    </row>
    <row s="1641" customFormat="1" customHeight="1" ht="11.549999999999999">
      <c r="A223" s="987"/>
      <c r="B223" s="1636"/>
      <c r="C223" s="1636"/>
      <c r="D223" s="351"/>
      <c r="J223" s="1641"/>
      <c r="L223" s="1160"/>
      <c r="M223" s="1636"/>
      <c r="N223" s="1636"/>
      <c r="O223" s="1160"/>
      <c r="P223" s="1160"/>
      <c r="Q223" s="1160"/>
      <c r="R223" s="1160"/>
      <c r="S223" s="1636"/>
      <c r="T223" s="1160"/>
      <c r="U223" s="1160"/>
      <c r="V223" s="544"/>
      <c r="W223" s="1160"/>
      <c r="X223" s="1160"/>
      <c r="Y223" s="1160"/>
      <c r="Z223" s="1160"/>
      <c r="AA223" s="1160"/>
      <c r="AB223" s="1632"/>
      <c r="AC223" s="566"/>
      <c r="AD223" s="566"/>
      <c r="AE223" s="566"/>
      <c r="AF223" s="566"/>
      <c r="AG223" s="1641">
        <v>11</v>
      </c>
    </row>
    <row s="1641" customFormat="1" customHeight="1" ht="11.549999999999999">
      <c r="A224" s="987"/>
      <c r="B224" s="1636"/>
      <c r="C224" s="1636"/>
      <c r="D224" s="351"/>
      <c r="J224" s="1641"/>
      <c r="L224" s="1160"/>
      <c r="M224" s="1636"/>
      <c r="N224" s="1636"/>
      <c r="O224" s="1160"/>
      <c r="P224" s="1160"/>
      <c r="Q224" s="1160"/>
      <c r="R224" s="1160"/>
      <c r="S224" s="1636"/>
      <c r="T224" s="1160"/>
      <c r="U224" s="1160"/>
      <c r="V224" s="544"/>
      <c r="W224" s="1160"/>
      <c r="X224" s="1160"/>
      <c r="Y224" s="1160"/>
      <c r="Z224" s="1160"/>
      <c r="AA224" s="1160"/>
      <c r="AB224" s="1632"/>
      <c r="AC224" s="566"/>
      <c r="AD224" s="566"/>
      <c r="AE224" s="566"/>
      <c r="AF224" s="566"/>
      <c r="AG224" s="1641">
        <v>11</v>
      </c>
    </row>
    <row s="1641" customFormat="1" customHeight="1" ht="11.549999999999999">
      <c r="A225" s="987"/>
      <c r="B225" s="1636"/>
      <c r="C225" s="1636"/>
      <c r="D225" s="351"/>
      <c r="J225" s="1641"/>
      <c r="L225" s="1160"/>
      <c r="M225" s="1636"/>
      <c r="N225" s="1636"/>
      <c r="O225" s="1160"/>
      <c r="P225" s="1160"/>
      <c r="Q225" s="1160"/>
      <c r="R225" s="1160"/>
      <c r="S225" s="1636"/>
      <c r="T225" s="1160"/>
      <c r="U225" s="1160"/>
      <c r="V225" s="544"/>
      <c r="W225" s="1160"/>
      <c r="X225" s="1160"/>
      <c r="Y225" s="1160"/>
      <c r="Z225" s="1160"/>
      <c r="AA225" s="1160"/>
      <c r="AB225" s="1632"/>
      <c r="AC225" s="566"/>
      <c r="AD225" s="566"/>
      <c r="AE225" s="566"/>
      <c r="AF225" s="566"/>
      <c r="AG225" s="1641">
        <v>11</v>
      </c>
    </row>
    <row s="1641" customFormat="1" customHeight="1" ht="11.549999999999999">
      <c r="A226" s="987"/>
      <c r="B226" s="1636"/>
      <c r="C226" s="1636"/>
      <c r="D226" s="351"/>
      <c r="J226" s="1641"/>
      <c r="L226" s="1160"/>
      <c r="M226" s="1636"/>
      <c r="N226" s="1636"/>
      <c r="O226" s="1160"/>
      <c r="P226" s="1160"/>
      <c r="Q226" s="1160"/>
      <c r="R226" s="1160"/>
      <c r="S226" s="1636"/>
      <c r="T226" s="1160"/>
      <c r="U226" s="1160"/>
      <c r="V226" s="544"/>
      <c r="W226" s="1160"/>
      <c r="X226" s="1160"/>
      <c r="Y226" s="1160"/>
      <c r="Z226" s="1160"/>
      <c r="AA226" s="1160"/>
      <c r="AB226" s="1632"/>
      <c r="AC226" s="566"/>
      <c r="AD226" s="566"/>
      <c r="AE226" s="566"/>
      <c r="AF226" s="566"/>
      <c r="AG226" s="1641">
        <v>11</v>
      </c>
    </row>
    <row s="1641" customFormat="1" customHeight="1" ht="11.549999999999999">
      <c r="A227" s="987"/>
      <c r="B227" s="1636"/>
      <c r="C227" s="1636"/>
      <c r="D227" s="351"/>
      <c r="J227" s="1641"/>
      <c r="L227" s="1160"/>
      <c r="M227" s="1636"/>
      <c r="N227" s="1636"/>
      <c r="O227" s="1160"/>
      <c r="P227" s="1160"/>
      <c r="Q227" s="1160"/>
      <c r="R227" s="1160"/>
      <c r="S227" s="1636"/>
      <c r="T227" s="1160"/>
      <c r="U227" s="1160"/>
      <c r="V227" s="544"/>
      <c r="W227" s="1160"/>
      <c r="X227" s="1160"/>
      <c r="Y227" s="1160"/>
      <c r="Z227" s="1160"/>
      <c r="AA227" s="1160"/>
      <c r="AB227" s="1632"/>
      <c r="AC227" s="566"/>
      <c r="AD227" s="566"/>
      <c r="AE227" s="566"/>
      <c r="AF227" s="566"/>
      <c r="AG227" s="1641">
        <v>11</v>
      </c>
    </row>
    <row s="1641" customFormat="1" customHeight="1" ht="11.549999999999999">
      <c r="A228" s="987"/>
      <c r="B228" s="1636"/>
      <c r="C228" s="1636"/>
      <c r="D228" s="351"/>
      <c r="J228" s="1641"/>
      <c r="L228" s="1160"/>
      <c r="M228" s="1636"/>
      <c r="N228" s="1636"/>
      <c r="O228" s="1160"/>
      <c r="P228" s="1160"/>
      <c r="Q228" s="1160"/>
      <c r="R228" s="1160"/>
      <c r="S228" s="1636"/>
      <c r="T228" s="1160"/>
      <c r="U228" s="1160"/>
      <c r="V228" s="544"/>
      <c r="W228" s="1160"/>
      <c r="X228" s="1160"/>
      <c r="Y228" s="1160"/>
      <c r="Z228" s="1160"/>
      <c r="AA228" s="1160"/>
      <c r="AB228" s="1632"/>
      <c r="AC228" s="566"/>
      <c r="AD228" s="566"/>
      <c r="AE228" s="566"/>
      <c r="AF228" s="566"/>
      <c r="AG228" s="1641">
        <v>11</v>
      </c>
    </row>
    <row s="1641" customFormat="1" customHeight="1" ht="11.549999999999999">
      <c r="A229" s="987"/>
      <c r="B229" s="1636"/>
      <c r="C229" s="1636"/>
      <c r="D229" s="351"/>
      <c r="J229" s="1641"/>
      <c r="L229" s="1160"/>
      <c r="M229" s="1636"/>
      <c r="N229" s="1636"/>
      <c r="O229" s="1160"/>
      <c r="P229" s="1160"/>
      <c r="Q229" s="1160"/>
      <c r="R229" s="1160"/>
      <c r="S229" s="1636"/>
      <c r="T229" s="1160"/>
      <c r="U229" s="1160"/>
      <c r="V229" s="544"/>
      <c r="W229" s="1160"/>
      <c r="X229" s="1160"/>
      <c r="Y229" s="1160"/>
      <c r="Z229" s="1160"/>
      <c r="AA229" s="1160"/>
      <c r="AB229" s="1632"/>
      <c r="AC229" s="566"/>
      <c r="AD229" s="566"/>
      <c r="AE229" s="566"/>
      <c r="AF229" s="566"/>
      <c r="AG229" s="1641">
        <v>11</v>
      </c>
    </row>
    <row s="1641" customFormat="1" customHeight="1" ht="11.549999999999999">
      <c r="A230" s="987"/>
      <c r="B230" s="1636"/>
      <c r="C230" s="1636"/>
      <c r="D230" s="351"/>
      <c r="J230" s="1641"/>
      <c r="L230" s="1160"/>
      <c r="M230" s="1636"/>
      <c r="N230" s="1636"/>
      <c r="O230" s="1160"/>
      <c r="P230" s="1160"/>
      <c r="Q230" s="1160"/>
      <c r="R230" s="1160"/>
      <c r="S230" s="1636"/>
      <c r="T230" s="1160"/>
      <c r="U230" s="1160"/>
      <c r="V230" s="544"/>
      <c r="W230" s="1160"/>
      <c r="X230" s="1160"/>
      <c r="Y230" s="1160"/>
      <c r="Z230" s="1160"/>
      <c r="AA230" s="1160"/>
      <c r="AB230" s="1632"/>
      <c r="AC230" s="566"/>
      <c r="AD230" s="566"/>
      <c r="AE230" s="566"/>
      <c r="AF230" s="566"/>
      <c r="AG230" s="1641">
        <v>11</v>
      </c>
    </row>
    <row s="1641" customFormat="1" customHeight="1" ht="11.549999999999999">
      <c r="A231" s="987"/>
      <c r="B231" s="1636"/>
      <c r="C231" s="1636"/>
      <c r="D231" s="351"/>
      <c r="J231" s="1641"/>
      <c r="L231" s="1160"/>
      <c r="M231" s="1636"/>
      <c r="N231" s="1636"/>
      <c r="O231" s="1160"/>
      <c r="P231" s="1160"/>
      <c r="Q231" s="1160"/>
      <c r="R231" s="1160"/>
      <c r="S231" s="1636"/>
      <c r="T231" s="1160"/>
      <c r="U231" s="1160"/>
      <c r="V231" s="544"/>
      <c r="W231" s="1160"/>
      <c r="X231" s="1160"/>
      <c r="Y231" s="1160"/>
      <c r="Z231" s="1160"/>
      <c r="AA231" s="1160"/>
      <c r="AB231" s="1632"/>
      <c r="AC231" s="566"/>
      <c r="AD231" s="566"/>
      <c r="AE231" s="566"/>
      <c r="AF231" s="566"/>
      <c r="AG231" s="1641">
        <v>11</v>
      </c>
    </row>
    <row s="1641" customFormat="1" customHeight="1" ht="11.549999999999999">
      <c r="A232" s="987"/>
      <c r="B232" s="1636"/>
      <c r="C232" s="1636"/>
      <c r="D232" s="351"/>
      <c r="J232" s="1641"/>
      <c r="L232" s="1160"/>
      <c r="M232" s="1636"/>
      <c r="N232" s="1636"/>
      <c r="O232" s="1160"/>
      <c r="P232" s="1160"/>
      <c r="Q232" s="1160"/>
      <c r="R232" s="1160"/>
      <c r="S232" s="1636"/>
      <c r="T232" s="1160"/>
      <c r="U232" s="1160"/>
      <c r="V232" s="544"/>
      <c r="W232" s="1160"/>
      <c r="X232" s="1160"/>
      <c r="Y232" s="1160"/>
      <c r="Z232" s="1160"/>
      <c r="AA232" s="1160"/>
      <c r="AB232" s="1632"/>
      <c r="AC232" s="566"/>
      <c r="AD232" s="566"/>
      <c r="AE232" s="566"/>
      <c r="AF232" s="566"/>
      <c r="AG232" s="1641">
        <v>11</v>
      </c>
    </row>
    <row s="1641" customFormat="1" customHeight="1" ht="11.549999999999999">
      <c r="A233" s="987"/>
      <c r="B233" s="1636"/>
      <c r="C233" s="1636"/>
      <c r="D233" s="351"/>
      <c r="J233" s="1641"/>
      <c r="L233" s="1160"/>
      <c r="M233" s="1636"/>
      <c r="N233" s="1636"/>
      <c r="O233" s="1160"/>
      <c r="P233" s="1160"/>
      <c r="Q233" s="1160"/>
      <c r="R233" s="1160"/>
      <c r="S233" s="1636"/>
      <c r="T233" s="1160"/>
      <c r="U233" s="1160"/>
      <c r="V233" s="544"/>
      <c r="W233" s="1160"/>
      <c r="X233" s="1160"/>
      <c r="Y233" s="1160"/>
      <c r="Z233" s="1160"/>
      <c r="AA233" s="1160"/>
      <c r="AB233" s="1632"/>
      <c r="AC233" s="566"/>
      <c r="AD233" s="566"/>
      <c r="AE233" s="566"/>
      <c r="AF233" s="566"/>
      <c r="AG233" s="1641">
        <v>11</v>
      </c>
    </row>
    <row s="1641" customFormat="1" customHeight="1" ht="11.549999999999999">
      <c r="A234" s="987"/>
      <c r="B234" s="1636"/>
      <c r="C234" s="1636"/>
      <c r="D234" s="351"/>
      <c r="J234" s="1641"/>
      <c r="L234" s="1160"/>
      <c r="M234" s="1636"/>
      <c r="N234" s="1636"/>
      <c r="O234" s="1160"/>
      <c r="P234" s="1160"/>
      <c r="Q234" s="1160"/>
      <c r="R234" s="1160"/>
      <c r="S234" s="1636"/>
      <c r="T234" s="1160"/>
      <c r="U234" s="1160"/>
      <c r="V234" s="544"/>
      <c r="W234" s="1160"/>
      <c r="X234" s="1160"/>
      <c r="Y234" s="1160"/>
      <c r="Z234" s="1160"/>
      <c r="AA234" s="1160"/>
      <c r="AB234" s="1632"/>
      <c r="AC234" s="566"/>
      <c r="AD234" s="566"/>
      <c r="AE234" s="566"/>
      <c r="AF234" s="566"/>
      <c r="AG234" s="1641">
        <v>11</v>
      </c>
    </row>
    <row s="1641" customFormat="1" customHeight="1" ht="11.549999999999999">
      <c r="A235" s="987"/>
      <c r="B235" s="1636"/>
      <c r="C235" s="1636"/>
      <c r="D235" s="351"/>
      <c r="J235" s="1641"/>
      <c r="L235" s="1160"/>
      <c r="M235" s="1636"/>
      <c r="N235" s="1636"/>
      <c r="O235" s="1160"/>
      <c r="P235" s="1160"/>
      <c r="Q235" s="1160"/>
      <c r="R235" s="1160"/>
      <c r="S235" s="1636"/>
      <c r="T235" s="1160"/>
      <c r="U235" s="1160"/>
      <c r="V235" s="544"/>
      <c r="W235" s="1160"/>
      <c r="X235" s="1160"/>
      <c r="Y235" s="1160"/>
      <c r="Z235" s="1160"/>
      <c r="AA235" s="1160"/>
      <c r="AB235" s="1632"/>
      <c r="AC235" s="566"/>
      <c r="AD235" s="566"/>
      <c r="AE235" s="566"/>
      <c r="AF235" s="566"/>
      <c r="AG235" s="1641">
        <v>11</v>
      </c>
    </row>
    <row s="1641" customFormat="1" customHeight="1" ht="11.549999999999999">
      <c r="A236" s="987"/>
      <c r="B236" s="1636"/>
      <c r="C236" s="1636"/>
      <c r="D236" s="351"/>
      <c r="J236" s="1641"/>
      <c r="L236" s="1160"/>
      <c r="M236" s="1636"/>
      <c r="N236" s="1636"/>
      <c r="O236" s="1160"/>
      <c r="P236" s="1160"/>
      <c r="Q236" s="1160"/>
      <c r="R236" s="1160"/>
      <c r="S236" s="1636"/>
      <c r="T236" s="1160"/>
      <c r="U236" s="1160"/>
      <c r="V236" s="544"/>
      <c r="W236" s="1160"/>
      <c r="X236" s="1160"/>
      <c r="Y236" s="1160"/>
      <c r="Z236" s="1160"/>
      <c r="AA236" s="1160"/>
      <c r="AB236" s="1632"/>
      <c r="AC236" s="566"/>
      <c r="AD236" s="566"/>
      <c r="AE236" s="566"/>
      <c r="AF236" s="566"/>
      <c r="AG236" s="1641">
        <v>11</v>
      </c>
    </row>
    <row s="1641" customFormat="1" customHeight="1" ht="11.549999999999999">
      <c r="A237" s="987"/>
      <c r="B237" s="1636"/>
      <c r="C237" s="1636"/>
      <c r="D237" s="351"/>
      <c r="J237" s="1641"/>
      <c r="L237" s="1160"/>
      <c r="M237" s="1636"/>
      <c r="N237" s="1636"/>
      <c r="O237" s="1160"/>
      <c r="P237" s="1160"/>
      <c r="Q237" s="1160"/>
      <c r="R237" s="1160"/>
      <c r="S237" s="1636"/>
      <c r="T237" s="1160"/>
      <c r="U237" s="1160"/>
      <c r="V237" s="544"/>
      <c r="W237" s="1160"/>
      <c r="X237" s="1160"/>
      <c r="Y237" s="1160"/>
      <c r="Z237" s="1160"/>
      <c r="AA237" s="1160"/>
      <c r="AB237" s="1632"/>
      <c r="AC237" s="566"/>
      <c r="AD237" s="566"/>
      <c r="AE237" s="566"/>
      <c r="AF237" s="566"/>
      <c r="AG237" s="1641">
        <v>11</v>
      </c>
    </row>
    <row s="1641" customFormat="1" customHeight="1" ht="11.549999999999999">
      <c r="A238" s="987"/>
      <c r="B238" s="1636"/>
      <c r="C238" s="1636"/>
      <c r="D238" s="351"/>
      <c r="J238" s="1641"/>
      <c r="L238" s="1160"/>
      <c r="M238" s="1636"/>
      <c r="N238" s="1636"/>
      <c r="O238" s="1160"/>
      <c r="P238" s="1160"/>
      <c r="Q238" s="1160"/>
      <c r="R238" s="1160"/>
      <c r="S238" s="1636"/>
      <c r="T238" s="1160"/>
      <c r="U238" s="1160"/>
      <c r="V238" s="544"/>
      <c r="W238" s="1160"/>
      <c r="X238" s="1160"/>
      <c r="Y238" s="1160"/>
      <c r="Z238" s="1160"/>
      <c r="AA238" s="1160"/>
      <c r="AB238" s="1632"/>
      <c r="AC238" s="566"/>
      <c r="AD238" s="566"/>
      <c r="AE238" s="566"/>
      <c r="AF238" s="566"/>
      <c r="AG238" s="1641">
        <v>11</v>
      </c>
    </row>
    <row s="1641" customFormat="1" customHeight="1" ht="11.549999999999999">
      <c r="A239" s="987"/>
      <c r="B239" s="1636"/>
      <c r="C239" s="1636"/>
      <c r="D239" s="351"/>
      <c r="J239" s="1641"/>
      <c r="L239" s="1160"/>
      <c r="M239" s="1636"/>
      <c r="N239" s="1636"/>
      <c r="O239" s="1160"/>
      <c r="P239" s="1160"/>
      <c r="Q239" s="1160"/>
      <c r="R239" s="1160"/>
      <c r="S239" s="1636"/>
      <c r="T239" s="1160"/>
      <c r="U239" s="1160"/>
      <c r="V239" s="544"/>
      <c r="W239" s="1160"/>
      <c r="X239" s="1160"/>
      <c r="Y239" s="1160"/>
      <c r="Z239" s="1160"/>
      <c r="AA239" s="1160"/>
      <c r="AB239" s="1632"/>
      <c r="AC239" s="566"/>
      <c r="AD239" s="566"/>
      <c r="AE239" s="566"/>
      <c r="AF239" s="566"/>
      <c r="AG239" s="1641">
        <v>11</v>
      </c>
    </row>
    <row s="1641" customFormat="1" customHeight="1" ht="11.549999999999999">
      <c r="A240" s="987"/>
      <c r="B240" s="1636"/>
      <c r="C240" s="1636"/>
      <c r="D240" s="351"/>
      <c r="J240" s="1641"/>
      <c r="L240" s="1160"/>
      <c r="M240" s="1636"/>
      <c r="N240" s="1636"/>
      <c r="O240" s="1160"/>
      <c r="P240" s="1160"/>
      <c r="Q240" s="1160"/>
      <c r="R240" s="1160"/>
      <c r="S240" s="1636"/>
      <c r="T240" s="1160"/>
      <c r="U240" s="1160"/>
      <c r="V240" s="544"/>
      <c r="W240" s="1160"/>
      <c r="X240" s="1160"/>
      <c r="Y240" s="1160"/>
      <c r="Z240" s="1160"/>
      <c r="AA240" s="1160"/>
      <c r="AB240" s="1632"/>
      <c r="AC240" s="566"/>
      <c r="AD240" s="566"/>
      <c r="AE240" s="566"/>
      <c r="AF240" s="566"/>
      <c r="AG240" s="1641">
        <v>11</v>
      </c>
    </row>
    <row s="1641" customFormat="1" customHeight="1" ht="11.549999999999999">
      <c r="A241" s="987"/>
      <c r="B241" s="1636"/>
      <c r="C241" s="1636"/>
      <c r="D241" s="351"/>
      <c r="J241" s="1641"/>
      <c r="L241" s="1160"/>
      <c r="M241" s="1636"/>
      <c r="N241" s="1636"/>
      <c r="O241" s="1160"/>
      <c r="P241" s="1160"/>
      <c r="Q241" s="1160"/>
      <c r="R241" s="1160"/>
      <c r="S241" s="1636"/>
      <c r="T241" s="1160"/>
      <c r="U241" s="1160"/>
      <c r="V241" s="544"/>
      <c r="W241" s="1160"/>
      <c r="X241" s="1160"/>
      <c r="Y241" s="1160"/>
      <c r="Z241" s="1160"/>
      <c r="AA241" s="1160"/>
      <c r="AB241" s="1632"/>
      <c r="AC241" s="566"/>
      <c r="AD241" s="566"/>
      <c r="AE241" s="566"/>
      <c r="AF241" s="566"/>
      <c r="AG241" s="1641">
        <v>11</v>
      </c>
    </row>
    <row s="1641" customFormat="1" customHeight="1" ht="11.549999999999999">
      <c r="A242" s="987"/>
      <c r="B242" s="1636"/>
      <c r="C242" s="1636"/>
      <c r="D242" s="351"/>
      <c r="J242" s="1641"/>
      <c r="L242" s="1160"/>
      <c r="M242" s="1636"/>
      <c r="N242" s="1636"/>
      <c r="O242" s="1160"/>
      <c r="P242" s="1160"/>
      <c r="Q242" s="1160"/>
      <c r="R242" s="1160"/>
      <c r="S242" s="1636"/>
      <c r="T242" s="1160"/>
      <c r="U242" s="1160"/>
      <c r="V242" s="544"/>
      <c r="W242" s="1160"/>
      <c r="X242" s="1160"/>
      <c r="Y242" s="1160"/>
      <c r="Z242" s="1160"/>
      <c r="AA242" s="1160"/>
      <c r="AB242" s="1632"/>
      <c r="AC242" s="566"/>
      <c r="AD242" s="566"/>
      <c r="AE242" s="566"/>
      <c r="AF242" s="566"/>
      <c r="AG242" s="1641">
        <v>11</v>
      </c>
    </row>
    <row s="1641" customFormat="1" customHeight="1" ht="11.549999999999999">
      <c r="A243" s="987"/>
      <c r="B243" s="1636"/>
      <c r="C243" s="1636"/>
      <c r="D243" s="351"/>
      <c r="J243" s="1641"/>
      <c r="L243" s="1160"/>
      <c r="M243" s="1636"/>
      <c r="N243" s="1636"/>
      <c r="O243" s="1160"/>
      <c r="P243" s="1160"/>
      <c r="Q243" s="1160"/>
      <c r="R243" s="1160"/>
      <c r="S243" s="1636"/>
      <c r="T243" s="1160"/>
      <c r="U243" s="1160"/>
      <c r="V243" s="544"/>
      <c r="W243" s="1160"/>
      <c r="X243" s="1160"/>
      <c r="Y243" s="1160"/>
      <c r="Z243" s="1160"/>
      <c r="AA243" s="1160"/>
      <c r="AB243" s="1632"/>
      <c r="AC243" s="566"/>
      <c r="AD243" s="566"/>
      <c r="AE243" s="566"/>
      <c r="AF243" s="566"/>
      <c r="AG243" s="1641">
        <v>11</v>
      </c>
    </row>
    <row s="1641" customFormat="1" customHeight="1" ht="11.549999999999999">
      <c r="A244" s="987"/>
      <c r="B244" s="1636"/>
      <c r="C244" s="1636"/>
      <c r="D244" s="351"/>
      <c r="J244" s="1641"/>
      <c r="L244" s="1160"/>
      <c r="M244" s="1636"/>
      <c r="N244" s="1636"/>
      <c r="O244" s="1160"/>
      <c r="P244" s="1160"/>
      <c r="Q244" s="1160"/>
      <c r="R244" s="1160"/>
      <c r="S244" s="1636"/>
      <c r="T244" s="1160"/>
      <c r="U244" s="1160"/>
      <c r="V244" s="544"/>
      <c r="W244" s="1160"/>
      <c r="X244" s="1160"/>
      <c r="Y244" s="1160"/>
      <c r="Z244" s="1160"/>
      <c r="AA244" s="1160"/>
      <c r="AB244" s="1632"/>
      <c r="AC244" s="566"/>
      <c r="AD244" s="566"/>
      <c r="AE244" s="566"/>
      <c r="AF244" s="566"/>
      <c r="AG244" s="1641">
        <v>11</v>
      </c>
    </row>
    <row s="1641" customFormat="1" customHeight="1" ht="11.549999999999999">
      <c r="A245" s="987"/>
      <c r="B245" s="1636"/>
      <c r="C245" s="1636"/>
      <c r="D245" s="351"/>
      <c r="J245" s="1641"/>
      <c r="L245" s="1160"/>
      <c r="M245" s="1636"/>
      <c r="N245" s="1636"/>
      <c r="O245" s="1160"/>
      <c r="P245" s="1160"/>
      <c r="Q245" s="1160"/>
      <c r="R245" s="1160"/>
      <c r="S245" s="1636"/>
      <c r="T245" s="1160"/>
      <c r="U245" s="1160"/>
      <c r="V245" s="544"/>
      <c r="W245" s="1160"/>
      <c r="X245" s="1160"/>
      <c r="Y245" s="1160"/>
      <c r="Z245" s="1160"/>
      <c r="AA245" s="1160"/>
      <c r="AB245" s="1632"/>
      <c r="AC245" s="566"/>
      <c r="AD245" s="566"/>
      <c r="AE245" s="566"/>
      <c r="AF245" s="566"/>
      <c r="AG245" s="1641">
        <v>11</v>
      </c>
    </row>
    <row s="1641" customFormat="1" customHeight="1" ht="11.549999999999999">
      <c r="A246" s="987"/>
      <c r="B246" s="1636"/>
      <c r="C246" s="1636"/>
      <c r="D246" s="351"/>
      <c r="J246" s="1641"/>
      <c r="L246" s="1160"/>
      <c r="M246" s="1636"/>
      <c r="N246" s="1636"/>
      <c r="O246" s="1160"/>
      <c r="P246" s="1160"/>
      <c r="Q246" s="1160"/>
      <c r="R246" s="1160"/>
      <c r="S246" s="1636"/>
      <c r="T246" s="1160"/>
      <c r="U246" s="1160"/>
      <c r="V246" s="544"/>
      <c r="W246" s="1160"/>
      <c r="X246" s="1160"/>
      <c r="Y246" s="1160"/>
      <c r="Z246" s="1160"/>
      <c r="AA246" s="1160"/>
      <c r="AB246" s="1632"/>
      <c r="AC246" s="566"/>
      <c r="AD246" s="566"/>
      <c r="AE246" s="566"/>
      <c r="AF246" s="566"/>
      <c r="AG246" s="1641">
        <v>11</v>
      </c>
    </row>
    <row s="1641" customFormat="1" customHeight="1" ht="11.549999999999999">
      <c r="A247" s="987"/>
      <c r="B247" s="1636"/>
      <c r="C247" s="1636"/>
      <c r="D247" s="351"/>
      <c r="J247" s="1641"/>
      <c r="L247" s="1160"/>
      <c r="M247" s="1636"/>
      <c r="N247" s="1636"/>
      <c r="O247" s="1160"/>
      <c r="P247" s="1160"/>
      <c r="Q247" s="1160"/>
      <c r="R247" s="1160"/>
      <c r="S247" s="1636"/>
      <c r="T247" s="1160"/>
      <c r="U247" s="1160"/>
      <c r="V247" s="544"/>
      <c r="W247" s="1160"/>
      <c r="X247" s="1160"/>
      <c r="Y247" s="1160"/>
      <c r="Z247" s="1160"/>
      <c r="AA247" s="1160"/>
      <c r="AB247" s="1632"/>
      <c r="AC247" s="566"/>
      <c r="AD247" s="566"/>
      <c r="AE247" s="566"/>
      <c r="AF247" s="566"/>
      <c r="AG247" s="1641">
        <v>11</v>
      </c>
    </row>
    <row s="1641" customFormat="1" customHeight="1" ht="11.549999999999999">
      <c r="A248" s="987"/>
      <c r="B248" s="1636"/>
      <c r="C248" s="1636"/>
      <c r="D248" s="351"/>
      <c r="J248" s="1641"/>
      <c r="L248" s="1160"/>
      <c r="M248" s="1636"/>
      <c r="N248" s="1636"/>
      <c r="O248" s="1160"/>
      <c r="P248" s="1160"/>
      <c r="Q248" s="1160"/>
      <c r="R248" s="1160"/>
      <c r="S248" s="1636"/>
      <c r="T248" s="1160"/>
      <c r="U248" s="1160"/>
      <c r="V248" s="544"/>
      <c r="W248" s="1160"/>
      <c r="X248" s="1160"/>
      <c r="Y248" s="1160"/>
      <c r="Z248" s="1160"/>
      <c r="AA248" s="1160"/>
      <c r="AB248" s="1632"/>
      <c r="AC248" s="566"/>
      <c r="AD248" s="566"/>
      <c r="AE248" s="566"/>
      <c r="AF248" s="566"/>
      <c r="AG248" s="1641">
        <v>11</v>
      </c>
    </row>
    <row s="1641" customFormat="1" customHeight="1" ht="11.549999999999999">
      <c r="A249" s="987"/>
      <c r="B249" s="1636"/>
      <c r="C249" s="1636"/>
      <c r="D249" s="351"/>
      <c r="J249" s="1641"/>
      <c r="L249" s="1160"/>
      <c r="M249" s="1636"/>
      <c r="N249" s="1636"/>
      <c r="O249" s="1160"/>
      <c r="P249" s="1160"/>
      <c r="Q249" s="1160"/>
      <c r="R249" s="1160"/>
      <c r="S249" s="1636"/>
      <c r="T249" s="1160"/>
      <c r="U249" s="1160"/>
      <c r="V249" s="544"/>
      <c r="W249" s="1160"/>
      <c r="X249" s="1160"/>
      <c r="Y249" s="1160"/>
      <c r="Z249" s="1160"/>
      <c r="AA249" s="1160"/>
      <c r="AB249" s="1632"/>
      <c r="AC249" s="566"/>
      <c r="AD249" s="566"/>
      <c r="AE249" s="566"/>
      <c r="AF249" s="566"/>
      <c r="AG249" s="1641">
        <v>11</v>
      </c>
    </row>
    <row s="1641" customFormat="1" customHeight="1" ht="11.549999999999999">
      <c r="A250" s="987"/>
      <c r="B250" s="1636"/>
      <c r="C250" s="1636"/>
      <c r="D250" s="351"/>
      <c r="J250" s="1641"/>
      <c r="L250" s="1160"/>
      <c r="M250" s="1636"/>
      <c r="N250" s="1636"/>
      <c r="O250" s="1160"/>
      <c r="P250" s="1160"/>
      <c r="Q250" s="1160"/>
      <c r="R250" s="1160"/>
      <c r="S250" s="1636"/>
      <c r="T250" s="1160"/>
      <c r="U250" s="1160"/>
      <c r="V250" s="544"/>
      <c r="W250" s="1160"/>
      <c r="X250" s="1160"/>
      <c r="Y250" s="1160"/>
      <c r="Z250" s="1160"/>
      <c r="AA250" s="1160"/>
      <c r="AB250" s="1632"/>
      <c r="AC250" s="566"/>
      <c r="AD250" s="566"/>
      <c r="AE250" s="566"/>
      <c r="AF250" s="566"/>
      <c r="AG250" s="1641">
        <v>11</v>
      </c>
    </row>
    <row s="1641" customFormat="1" customHeight="1" ht="11.549999999999999">
      <c r="A251" s="987"/>
      <c r="B251" s="1636"/>
      <c r="C251" s="1636"/>
      <c r="D251" s="351"/>
      <c r="J251" s="1641"/>
      <c r="L251" s="1160"/>
      <c r="M251" s="1636"/>
      <c r="N251" s="1636"/>
      <c r="O251" s="1160"/>
      <c r="P251" s="1160"/>
      <c r="Q251" s="1160"/>
      <c r="R251" s="1160"/>
      <c r="S251" s="1636"/>
      <c r="T251" s="1160"/>
      <c r="U251" s="1160"/>
      <c r="V251" s="544"/>
      <c r="W251" s="1160"/>
      <c r="X251" s="1160"/>
      <c r="Y251" s="1160"/>
      <c r="Z251" s="1160"/>
      <c r="AA251" s="1160"/>
      <c r="AB251" s="1632"/>
      <c r="AC251" s="566"/>
      <c r="AD251" s="566"/>
      <c r="AE251" s="566"/>
      <c r="AF251" s="566"/>
      <c r="AG251" s="1641">
        <v>11</v>
      </c>
    </row>
    <row s="1641" customFormat="1" customHeight="1" ht="11.549999999999999">
      <c r="A252" s="987"/>
      <c r="B252" s="1636"/>
      <c r="C252" s="1636"/>
      <c r="D252" s="351"/>
      <c r="J252" s="1641"/>
      <c r="L252" s="1160"/>
      <c r="M252" s="1636"/>
      <c r="N252" s="1636"/>
      <c r="O252" s="1160"/>
      <c r="P252" s="1160"/>
      <c r="Q252" s="1160"/>
      <c r="R252" s="1160"/>
      <c r="S252" s="1636"/>
      <c r="T252" s="1160"/>
      <c r="U252" s="1160"/>
      <c r="V252" s="544"/>
      <c r="W252" s="1160"/>
      <c r="X252" s="1160"/>
      <c r="Y252" s="1160"/>
      <c r="Z252" s="1160"/>
      <c r="AA252" s="1160"/>
      <c r="AB252" s="1632"/>
      <c r="AC252" s="566"/>
      <c r="AD252" s="566"/>
      <c r="AE252" s="566"/>
      <c r="AF252" s="566"/>
      <c r="AG252" s="1641">
        <v>11</v>
      </c>
    </row>
    <row s="1641" customFormat="1" customHeight="1" ht="11.549999999999999">
      <c r="A253" s="987"/>
      <c r="B253" s="1636"/>
      <c r="C253" s="1636"/>
      <c r="D253" s="351"/>
      <c r="J253" s="1641"/>
      <c r="L253" s="1160"/>
      <c r="M253" s="1636"/>
      <c r="N253" s="1636"/>
      <c r="O253" s="1160"/>
      <c r="P253" s="1160"/>
      <c r="Q253" s="1160"/>
      <c r="R253" s="1160"/>
      <c r="S253" s="1636"/>
      <c r="T253" s="1160"/>
      <c r="U253" s="1160"/>
      <c r="V253" s="544"/>
      <c r="W253" s="1160"/>
      <c r="X253" s="1160"/>
      <c r="Y253" s="1160"/>
      <c r="Z253" s="1160"/>
      <c r="AA253" s="1160"/>
      <c r="AB253" s="1632"/>
      <c r="AC253" s="566"/>
      <c r="AD253" s="566"/>
      <c r="AE253" s="566"/>
      <c r="AF253" s="566"/>
      <c r="AG253" s="1641">
        <v>11</v>
      </c>
    </row>
    <row s="1641" customFormat="1" customHeight="1" ht="11.549999999999999">
      <c r="A254" s="987"/>
      <c r="B254" s="1636"/>
      <c r="C254" s="1636"/>
      <c r="D254" s="351"/>
      <c r="J254" s="1641"/>
      <c r="L254" s="1160"/>
      <c r="M254" s="1636"/>
      <c r="N254" s="1636"/>
      <c r="O254" s="1160"/>
      <c r="P254" s="1160"/>
      <c r="Q254" s="1160"/>
      <c r="R254" s="1160"/>
      <c r="S254" s="1636"/>
      <c r="T254" s="1160"/>
      <c r="U254" s="1160"/>
      <c r="V254" s="544"/>
      <c r="W254" s="1160"/>
      <c r="X254" s="1160"/>
      <c r="Y254" s="1160"/>
      <c r="Z254" s="1160"/>
      <c r="AA254" s="1160"/>
      <c r="AB254" s="1632"/>
      <c r="AC254" s="566"/>
      <c r="AD254" s="566"/>
      <c r="AE254" s="566"/>
      <c r="AF254" s="566"/>
      <c r="AG254" s="1641">
        <v>11</v>
      </c>
    </row>
    <row s="1641" customFormat="1" customHeight="1" ht="11.549999999999999">
      <c r="A255" s="987"/>
      <c r="B255" s="1636"/>
      <c r="C255" s="1636"/>
      <c r="D255" s="351"/>
      <c r="J255" s="1641"/>
      <c r="L255" s="1160"/>
      <c r="M255" s="1636"/>
      <c r="N255" s="1636"/>
      <c r="O255" s="1160"/>
      <c r="P255" s="1160"/>
      <c r="Q255" s="1160"/>
      <c r="R255" s="1160"/>
      <c r="S255" s="1636"/>
      <c r="T255" s="1160"/>
      <c r="U255" s="1160"/>
      <c r="V255" s="544"/>
      <c r="W255" s="1160"/>
      <c r="X255" s="1160"/>
      <c r="Y255" s="1160"/>
      <c r="Z255" s="1160"/>
      <c r="AA255" s="1160"/>
      <c r="AB255" s="1632"/>
      <c r="AC255" s="566"/>
      <c r="AD255" s="566"/>
      <c r="AE255" s="566"/>
      <c r="AF255" s="566"/>
      <c r="AG255" s="1641">
        <v>11</v>
      </c>
    </row>
    <row s="1641" customFormat="1" customHeight="1" ht="11.549999999999999">
      <c r="A256" s="987"/>
      <c r="B256" s="1636"/>
      <c r="C256" s="1636"/>
      <c r="D256" s="351"/>
      <c r="J256" s="1641"/>
      <c r="L256" s="1160"/>
      <c r="M256" s="1636"/>
      <c r="N256" s="1636"/>
      <c r="O256" s="1160"/>
      <c r="P256" s="1160"/>
      <c r="Q256" s="1160"/>
      <c r="R256" s="1160"/>
      <c r="S256" s="1636"/>
      <c r="T256" s="1160"/>
      <c r="U256" s="1160"/>
      <c r="V256" s="544"/>
      <c r="W256" s="1160"/>
      <c r="X256" s="1160"/>
      <c r="Y256" s="1160"/>
      <c r="Z256" s="1160"/>
      <c r="AA256" s="1160"/>
      <c r="AB256" s="1632"/>
      <c r="AC256" s="566"/>
      <c r="AD256" s="566"/>
      <c r="AE256" s="566"/>
      <c r="AF256" s="566"/>
      <c r="AG256" s="1641">
        <v>11</v>
      </c>
    </row>
    <row s="1641" customFormat="1" customHeight="1" ht="11.549999999999999">
      <c r="A257" s="987"/>
      <c r="B257" s="1636"/>
      <c r="C257" s="1636"/>
      <c r="D257" s="351"/>
      <c r="J257" s="1641"/>
      <c r="L257" s="1160"/>
      <c r="M257" s="1636"/>
      <c r="N257" s="1636"/>
      <c r="O257" s="1160"/>
      <c r="P257" s="1160"/>
      <c r="Q257" s="1160"/>
      <c r="R257" s="1160"/>
      <c r="S257" s="1636"/>
      <c r="T257" s="1160"/>
      <c r="U257" s="1160"/>
      <c r="V257" s="544"/>
      <c r="W257" s="1160"/>
      <c r="X257" s="1160"/>
      <c r="Y257" s="1160"/>
      <c r="Z257" s="1160"/>
      <c r="AA257" s="1160"/>
      <c r="AB257" s="1632"/>
      <c r="AC257" s="566"/>
      <c r="AD257" s="566"/>
      <c r="AE257" s="566"/>
      <c r="AF257" s="566"/>
      <c r="AG257" s="1641">
        <v>11</v>
      </c>
    </row>
    <row s="1641" customFormat="1" customHeight="1" ht="11.549999999999999">
      <c r="A258" s="987"/>
      <c r="B258" s="1636"/>
      <c r="C258" s="1636"/>
      <c r="D258" s="351"/>
      <c r="J258" s="1641"/>
      <c r="L258" s="1160"/>
      <c r="M258" s="1636"/>
      <c r="N258" s="1636"/>
      <c r="O258" s="1160"/>
      <c r="P258" s="1160"/>
      <c r="Q258" s="1160"/>
      <c r="R258" s="1160"/>
      <c r="S258" s="1636"/>
      <c r="T258" s="1160"/>
      <c r="U258" s="1160"/>
      <c r="V258" s="544"/>
      <c r="W258" s="1160"/>
      <c r="X258" s="1160"/>
      <c r="Y258" s="1160"/>
      <c r="Z258" s="1160"/>
      <c r="AA258" s="1160"/>
      <c r="AB258" s="1632"/>
      <c r="AC258" s="566"/>
      <c r="AD258" s="566"/>
      <c r="AE258" s="566"/>
      <c r="AF258" s="566"/>
      <c r="AG258" s="1641">
        <v>11</v>
      </c>
    </row>
    <row s="1641" customFormat="1" customHeight="1" ht="11.549999999999999">
      <c r="A259" s="987"/>
      <c r="B259" s="1636"/>
      <c r="C259" s="1636"/>
      <c r="D259" s="351"/>
      <c r="J259" s="1641"/>
      <c r="L259" s="1160"/>
      <c r="M259" s="1636"/>
      <c r="N259" s="1636"/>
      <c r="O259" s="1160"/>
      <c r="P259" s="1160"/>
      <c r="Q259" s="1160"/>
      <c r="R259" s="1160"/>
      <c r="S259" s="1636"/>
      <c r="T259" s="1160"/>
      <c r="U259" s="1160"/>
      <c r="V259" s="544"/>
      <c r="W259" s="1160"/>
      <c r="X259" s="1160"/>
      <c r="Y259" s="1160"/>
      <c r="Z259" s="1160"/>
      <c r="AA259" s="1160"/>
      <c r="AB259" s="1632"/>
      <c r="AC259" s="566"/>
      <c r="AD259" s="566"/>
      <c r="AE259" s="566"/>
      <c r="AF259" s="566"/>
      <c r="AG259" s="1641">
        <v>11</v>
      </c>
    </row>
    <row s="1641" customFormat="1" customHeight="1" ht="11.549999999999999">
      <c r="A260" s="987"/>
      <c r="B260" s="1636"/>
      <c r="C260" s="1636"/>
      <c r="D260" s="351"/>
      <c r="J260" s="1641"/>
      <c r="L260" s="1160"/>
      <c r="M260" s="1636"/>
      <c r="N260" s="1636"/>
      <c r="O260" s="1160"/>
      <c r="P260" s="1160"/>
      <c r="Q260" s="1160"/>
      <c r="R260" s="1160"/>
      <c r="S260" s="1636"/>
      <c r="T260" s="1160"/>
      <c r="U260" s="1160"/>
      <c r="V260" s="544"/>
      <c r="W260" s="1160"/>
      <c r="X260" s="1160"/>
      <c r="Y260" s="1160"/>
      <c r="Z260" s="1160"/>
      <c r="AA260" s="1160"/>
      <c r="AB260" s="1632"/>
      <c r="AC260" s="566"/>
      <c r="AD260" s="566"/>
      <c r="AE260" s="566"/>
      <c r="AF260" s="566"/>
      <c r="AG260" s="1641">
        <v>11</v>
      </c>
    </row>
    <row s="1641" customFormat="1" customHeight="1" ht="11.549999999999999">
      <c r="A261" s="987"/>
      <c r="B261" s="1636"/>
      <c r="C261" s="1636"/>
      <c r="D261" s="351"/>
      <c r="J261" s="1641"/>
      <c r="L261" s="1160"/>
      <c r="M261" s="1636"/>
      <c r="N261" s="1636"/>
      <c r="O261" s="1160"/>
      <c r="P261" s="1160"/>
      <c r="Q261" s="1160"/>
      <c r="R261" s="1160"/>
      <c r="S261" s="1636"/>
      <c r="T261" s="1160"/>
      <c r="U261" s="1160"/>
      <c r="V261" s="544"/>
      <c r="W261" s="1160"/>
      <c r="X261" s="1160"/>
      <c r="Y261" s="1160"/>
      <c r="Z261" s="1160"/>
      <c r="AA261" s="1160"/>
      <c r="AB261" s="1632"/>
      <c r="AC261" s="566"/>
      <c r="AD261" s="566"/>
      <c r="AE261" s="566"/>
      <c r="AF261" s="566"/>
      <c r="AG261" s="1641">
        <v>11</v>
      </c>
    </row>
    <row s="1641" customFormat="1" customHeight="1" ht="11.549999999999999">
      <c r="A262" s="987"/>
      <c r="B262" s="1636"/>
      <c r="C262" s="1636"/>
      <c r="D262" s="351"/>
      <c r="J262" s="1641"/>
      <c r="L262" s="1160"/>
      <c r="M262" s="1636"/>
      <c r="N262" s="1636"/>
      <c r="O262" s="1160"/>
      <c r="P262" s="1160"/>
      <c r="Q262" s="1160"/>
      <c r="R262" s="1160"/>
      <c r="S262" s="1636"/>
      <c r="T262" s="1160"/>
      <c r="U262" s="1160"/>
      <c r="V262" s="544"/>
      <c r="W262" s="1160"/>
      <c r="X262" s="1160"/>
      <c r="Y262" s="1160"/>
      <c r="Z262" s="1160"/>
      <c r="AA262" s="1160"/>
      <c r="AB262" s="1632"/>
      <c r="AC262" s="566"/>
      <c r="AD262" s="566"/>
      <c r="AE262" s="566"/>
      <c r="AF262" s="566"/>
      <c r="AG262" s="1641">
        <v>11</v>
      </c>
    </row>
    <row s="1641" customFormat="1" customHeight="1" ht="11.549999999999999">
      <c r="A263" s="987"/>
      <c r="B263" s="1636"/>
      <c r="C263" s="1636"/>
      <c r="D263" s="351"/>
      <c r="J263" s="1641"/>
      <c r="L263" s="1160"/>
      <c r="M263" s="1636"/>
      <c r="N263" s="1636"/>
      <c r="O263" s="1160"/>
      <c r="P263" s="1160"/>
      <c r="Q263" s="1160"/>
      <c r="R263" s="1160"/>
      <c r="S263" s="1636"/>
      <c r="T263" s="1160"/>
      <c r="U263" s="1160"/>
      <c r="V263" s="544"/>
      <c r="W263" s="1160"/>
      <c r="X263" s="1160"/>
      <c r="Y263" s="1160"/>
      <c r="Z263" s="1160"/>
      <c r="AA263" s="1160"/>
      <c r="AB263" s="1632"/>
      <c r="AC263" s="566"/>
      <c r="AD263" s="566"/>
      <c r="AE263" s="566"/>
      <c r="AF263" s="566"/>
      <c r="AG263" s="1641">
        <v>11</v>
      </c>
    </row>
    <row s="1641" customFormat="1" customHeight="1" ht="11.549999999999999">
      <c r="A264" s="987"/>
      <c r="B264" s="1636"/>
      <c r="C264" s="1636"/>
      <c r="D264" s="351"/>
      <c r="J264" s="1641"/>
      <c r="L264" s="1160"/>
      <c r="M264" s="1636"/>
      <c r="N264" s="1636"/>
      <c r="O264" s="1160"/>
      <c r="P264" s="1160"/>
      <c r="Q264" s="1160"/>
      <c r="R264" s="1160"/>
      <c r="S264" s="1636"/>
      <c r="T264" s="1160"/>
      <c r="U264" s="1160"/>
      <c r="V264" s="544"/>
      <c r="W264" s="1160"/>
      <c r="X264" s="1160"/>
      <c r="Y264" s="1160"/>
      <c r="Z264" s="1160"/>
      <c r="AA264" s="1160"/>
      <c r="AB264" s="1632"/>
      <c r="AC264" s="566"/>
      <c r="AD264" s="566"/>
      <c r="AE264" s="566"/>
      <c r="AF264" s="566"/>
      <c r="AG264" s="1641">
        <v>11</v>
      </c>
    </row>
    <row s="1641" customFormat="1" customHeight="1" ht="11.549999999999999">
      <c r="A265" s="987"/>
      <c r="B265" s="1636"/>
      <c r="C265" s="1636"/>
      <c r="D265" s="351"/>
      <c r="J265" s="1641"/>
      <c r="L265" s="1160"/>
      <c r="M265" s="1636"/>
      <c r="N265" s="1636"/>
      <c r="O265" s="1160"/>
      <c r="P265" s="1160"/>
      <c r="Q265" s="1160"/>
      <c r="R265" s="1160"/>
      <c r="S265" s="1636"/>
      <c r="T265" s="1160"/>
      <c r="U265" s="1160"/>
      <c r="V265" s="544"/>
      <c r="W265" s="1160"/>
      <c r="X265" s="1160"/>
      <c r="Y265" s="1160"/>
      <c r="Z265" s="1160"/>
      <c r="AA265" s="1160"/>
      <c r="AB265" s="1632"/>
      <c r="AC265" s="566"/>
      <c r="AD265" s="566"/>
      <c r="AE265" s="566"/>
      <c r="AF265" s="566"/>
      <c r="AG265" s="1641">
        <v>11</v>
      </c>
    </row>
    <row s="1641" customFormat="1" customHeight="1" ht="11.549999999999999">
      <c r="A266" s="987"/>
      <c r="B266" s="1636"/>
      <c r="C266" s="1636"/>
      <c r="D266" s="351"/>
      <c r="J266" s="1641"/>
      <c r="L266" s="1160"/>
      <c r="M266" s="1636"/>
      <c r="N266" s="1636"/>
      <c r="O266" s="1160"/>
      <c r="P266" s="1160"/>
      <c r="Q266" s="1160"/>
      <c r="R266" s="1160"/>
      <c r="S266" s="1636"/>
      <c r="T266" s="1160"/>
      <c r="U266" s="1160"/>
      <c r="V266" s="544"/>
      <c r="W266" s="1160"/>
      <c r="X266" s="1160"/>
      <c r="Y266" s="1160"/>
      <c r="Z266" s="1160"/>
      <c r="AA266" s="1160"/>
      <c r="AB266" s="1632"/>
      <c r="AC266" s="566"/>
      <c r="AD266" s="566"/>
      <c r="AE266" s="566"/>
      <c r="AF266" s="566"/>
      <c r="AG266" s="1641">
        <v>11</v>
      </c>
    </row>
    <row s="1641" customFormat="1" customHeight="1" ht="11.549999999999999">
      <c r="A267" s="987"/>
      <c r="B267" s="1636"/>
      <c r="C267" s="1636"/>
      <c r="D267" s="351"/>
      <c r="J267" s="1641"/>
      <c r="L267" s="1160"/>
      <c r="M267" s="1636"/>
      <c r="N267" s="1636"/>
      <c r="O267" s="1160"/>
      <c r="P267" s="1160"/>
      <c r="Q267" s="1160"/>
      <c r="R267" s="1160"/>
      <c r="S267" s="1636"/>
      <c r="T267" s="1160"/>
      <c r="U267" s="1160"/>
      <c r="V267" s="544"/>
      <c r="W267" s="1160"/>
      <c r="X267" s="1160"/>
      <c r="Y267" s="1160"/>
      <c r="Z267" s="1160"/>
      <c r="AA267" s="1160"/>
      <c r="AB267" s="1632"/>
      <c r="AC267" s="566"/>
      <c r="AD267" s="566"/>
      <c r="AE267" s="566"/>
      <c r="AF267" s="566"/>
      <c r="AG267" s="1641">
        <v>11</v>
      </c>
    </row>
    <row s="1641" customFormat="1" customHeight="1" ht="11.549999999999999">
      <c r="A268" s="987"/>
      <c r="B268" s="1636"/>
      <c r="C268" s="1636"/>
      <c r="D268" s="351"/>
      <c r="J268" s="1641"/>
      <c r="L268" s="1160"/>
      <c r="M268" s="1636"/>
      <c r="N268" s="1636"/>
      <c r="O268" s="1160"/>
      <c r="P268" s="1160"/>
      <c r="Q268" s="1160"/>
      <c r="R268" s="1160"/>
      <c r="S268" s="1636"/>
      <c r="T268" s="1160"/>
      <c r="U268" s="1160"/>
      <c r="V268" s="544"/>
      <c r="W268" s="1160"/>
      <c r="X268" s="1160"/>
      <c r="Y268" s="1160"/>
      <c r="Z268" s="1160"/>
      <c r="AA268" s="1160"/>
      <c r="AB268" s="1632"/>
      <c r="AC268" s="566"/>
      <c r="AD268" s="566"/>
      <c r="AE268" s="566"/>
      <c r="AF268" s="566"/>
      <c r="AG268" s="1641">
        <v>11</v>
      </c>
    </row>
    <row s="1641" customFormat="1" customHeight="1" ht="11.549999999999999">
      <c r="A269" s="987"/>
      <c r="B269" s="1636"/>
      <c r="C269" s="1636"/>
      <c r="D269" s="351"/>
      <c r="J269" s="1641"/>
      <c r="L269" s="1160"/>
      <c r="M269" s="1636"/>
      <c r="N269" s="1636"/>
      <c r="O269" s="1160"/>
      <c r="P269" s="1160"/>
      <c r="Q269" s="1160"/>
      <c r="R269" s="1160"/>
      <c r="S269" s="1636"/>
      <c r="T269" s="1160"/>
      <c r="U269" s="1160"/>
      <c r="V269" s="544"/>
      <c r="W269" s="1160"/>
      <c r="X269" s="1160"/>
      <c r="Y269" s="1160"/>
      <c r="Z269" s="1160"/>
      <c r="AA269" s="1160"/>
      <c r="AB269" s="1632"/>
      <c r="AC269" s="566"/>
      <c r="AD269" s="566"/>
      <c r="AE269" s="566"/>
      <c r="AF269" s="566"/>
      <c r="AG269" s="1641">
        <v>11</v>
      </c>
    </row>
    <row s="1641" customFormat="1" customHeight="1" ht="11.549999999999999">
      <c r="A270" s="987"/>
      <c r="B270" s="1636"/>
      <c r="C270" s="1636"/>
      <c r="D270" s="351"/>
      <c r="J270" s="1641"/>
      <c r="L270" s="1160"/>
      <c r="M270" s="1636"/>
      <c r="N270" s="1636"/>
      <c r="O270" s="1160"/>
      <c r="P270" s="1160"/>
      <c r="Q270" s="1160"/>
      <c r="R270" s="1160"/>
      <c r="S270" s="1636"/>
      <c r="T270" s="1160"/>
      <c r="U270" s="1160"/>
      <c r="V270" s="544"/>
      <c r="W270" s="1160"/>
      <c r="X270" s="1160"/>
      <c r="Y270" s="1160"/>
      <c r="Z270" s="1160"/>
      <c r="AA270" s="1160"/>
      <c r="AB270" s="1632"/>
      <c r="AC270" s="566"/>
      <c r="AD270" s="566"/>
      <c r="AE270" s="566"/>
      <c r="AF270" s="566"/>
      <c r="AG270" s="1641">
        <v>11</v>
      </c>
    </row>
    <row s="1641" customFormat="1" customHeight="1" ht="11.549999999999999">
      <c r="A271" s="987"/>
      <c r="B271" s="1636"/>
      <c r="C271" s="1636"/>
      <c r="D271" s="351"/>
      <c r="J271" s="1641"/>
      <c r="L271" s="1160"/>
      <c r="M271" s="1636"/>
      <c r="N271" s="1636"/>
      <c r="O271" s="1160"/>
      <c r="P271" s="1160"/>
      <c r="Q271" s="1160"/>
      <c r="R271" s="1160"/>
      <c r="S271" s="1636"/>
      <c r="T271" s="1160"/>
      <c r="U271" s="1160"/>
      <c r="V271" s="544"/>
      <c r="W271" s="1160"/>
      <c r="X271" s="1160"/>
      <c r="Y271" s="1160"/>
      <c r="Z271" s="1160"/>
      <c r="AA271" s="1160"/>
      <c r="AB271" s="1632"/>
      <c r="AC271" s="566"/>
      <c r="AD271" s="566"/>
      <c r="AE271" s="566"/>
      <c r="AF271" s="566"/>
      <c r="AG271" s="1641">
        <v>11</v>
      </c>
    </row>
    <row s="1641" customFormat="1" customHeight="1" ht="11.549999999999999">
      <c r="A272" s="987"/>
      <c r="B272" s="1636"/>
      <c r="C272" s="1636"/>
      <c r="D272" s="351"/>
      <c r="J272" s="1641"/>
      <c r="L272" s="1160"/>
      <c r="M272" s="1636"/>
      <c r="N272" s="1636"/>
      <c r="O272" s="1160"/>
      <c r="P272" s="1160"/>
      <c r="Q272" s="1160"/>
      <c r="R272" s="1160"/>
      <c r="S272" s="1636"/>
      <c r="T272" s="1160"/>
      <c r="U272" s="1160"/>
      <c r="V272" s="544"/>
      <c r="W272" s="1160"/>
      <c r="X272" s="1160"/>
      <c r="Y272" s="1160"/>
      <c r="Z272" s="1160"/>
      <c r="AA272" s="1160"/>
      <c r="AB272" s="1632"/>
      <c r="AC272" s="566"/>
      <c r="AD272" s="566"/>
      <c r="AE272" s="566"/>
      <c r="AF272" s="566"/>
      <c r="AG272" s="1641">
        <v>11</v>
      </c>
    </row>
    <row s="1641" customFormat="1" customHeight="1" ht="11.549999999999999">
      <c r="A273" s="987"/>
      <c r="B273" s="1636"/>
      <c r="C273" s="1636"/>
      <c r="D273" s="351"/>
      <c r="J273" s="1641"/>
      <c r="L273" s="1160"/>
      <c r="M273" s="1636"/>
      <c r="N273" s="1636"/>
      <c r="O273" s="1160"/>
      <c r="P273" s="1160"/>
      <c r="Q273" s="1160"/>
      <c r="R273" s="1160"/>
      <c r="S273" s="1636"/>
      <c r="T273" s="1160"/>
      <c r="U273" s="1160"/>
      <c r="V273" s="544"/>
      <c r="W273" s="1160"/>
      <c r="X273" s="1160"/>
      <c r="Y273" s="1160"/>
      <c r="Z273" s="1160"/>
      <c r="AA273" s="1160"/>
      <c r="AB273" s="1632"/>
      <c r="AC273" s="566"/>
      <c r="AD273" s="566"/>
      <c r="AE273" s="566"/>
      <c r="AF273" s="566"/>
      <c r="AG273" s="1641">
        <v>11</v>
      </c>
    </row>
    <row s="1641" customFormat="1" customHeight="1" ht="11.549999999999999">
      <c r="A274" s="987"/>
      <c r="B274" s="1636"/>
      <c r="C274" s="1636"/>
      <c r="D274" s="351"/>
      <c r="J274" s="1641"/>
      <c r="L274" s="1160"/>
      <c r="M274" s="1636"/>
      <c r="N274" s="1636"/>
      <c r="O274" s="1160"/>
      <c r="P274" s="1160"/>
      <c r="Q274" s="1160"/>
      <c r="R274" s="1160"/>
      <c r="S274" s="1636"/>
      <c r="T274" s="1160"/>
      <c r="U274" s="1160"/>
      <c r="V274" s="544"/>
      <c r="W274" s="1160"/>
      <c r="X274" s="1160"/>
      <c r="Y274" s="1160"/>
      <c r="Z274" s="1160"/>
      <c r="AA274" s="1160"/>
      <c r="AB274" s="1632"/>
      <c r="AC274" s="566"/>
      <c r="AD274" s="566"/>
      <c r="AE274" s="566"/>
      <c r="AF274" s="566"/>
      <c r="AG274" s="1641">
        <v>11</v>
      </c>
    </row>
    <row s="1641" customFormat="1" customHeight="1" ht="11.549999999999999">
      <c r="A275" s="987"/>
      <c r="B275" s="1636"/>
      <c r="C275" s="1636"/>
      <c r="D275" s="351"/>
      <c r="J275" s="1641"/>
      <c r="L275" s="1160"/>
      <c r="M275" s="1636"/>
      <c r="N275" s="1636"/>
      <c r="O275" s="1160"/>
      <c r="P275" s="1160"/>
      <c r="Q275" s="1160"/>
      <c r="R275" s="1160"/>
      <c r="S275" s="1636"/>
      <c r="T275" s="1160"/>
      <c r="U275" s="1160"/>
      <c r="V275" s="544"/>
      <c r="W275" s="1160"/>
      <c r="X275" s="1160"/>
      <c r="Y275" s="1160"/>
      <c r="Z275" s="1160"/>
      <c r="AA275" s="1160"/>
      <c r="AB275" s="1632"/>
      <c r="AC275" s="566"/>
      <c r="AD275" s="566"/>
      <c r="AE275" s="566"/>
      <c r="AF275" s="566"/>
      <c r="AG275" s="1641">
        <v>11</v>
      </c>
    </row>
    <row s="1641" customFormat="1" customHeight="1" ht="11.549999999999999">
      <c r="A276" s="987"/>
      <c r="B276" s="1636"/>
      <c r="C276" s="1636"/>
      <c r="D276" s="351"/>
      <c r="J276" s="1641"/>
      <c r="L276" s="1160"/>
      <c r="M276" s="1636"/>
      <c r="N276" s="1636"/>
      <c r="O276" s="1160"/>
      <c r="P276" s="1160"/>
      <c r="Q276" s="1160"/>
      <c r="R276" s="1160"/>
      <c r="S276" s="1636"/>
      <c r="T276" s="1160"/>
      <c r="U276" s="1160"/>
      <c r="V276" s="544"/>
      <c r="W276" s="1160"/>
      <c r="X276" s="1160"/>
      <c r="Y276" s="1160"/>
      <c r="Z276" s="1160"/>
      <c r="AA276" s="1160"/>
      <c r="AB276" s="1632"/>
      <c r="AC276" s="566"/>
      <c r="AD276" s="566"/>
      <c r="AE276" s="566"/>
      <c r="AF276" s="566"/>
      <c r="AG276" s="1641">
        <v>11</v>
      </c>
    </row>
    <row s="1641" customFormat="1" customHeight="1" ht="11.549999999999999">
      <c r="A277" s="987"/>
      <c r="B277" s="1636"/>
      <c r="C277" s="1636"/>
      <c r="D277" s="351"/>
      <c r="J277" s="1641"/>
      <c r="L277" s="1160"/>
      <c r="M277" s="1636"/>
      <c r="N277" s="1636"/>
      <c r="O277" s="1160"/>
      <c r="P277" s="1160"/>
      <c r="Q277" s="1160"/>
      <c r="R277" s="1160"/>
      <c r="S277" s="1636"/>
      <c r="T277" s="1160"/>
      <c r="U277" s="1160"/>
      <c r="V277" s="544"/>
      <c r="W277" s="1160"/>
      <c r="X277" s="1160"/>
      <c r="Y277" s="1160"/>
      <c r="Z277" s="1160"/>
      <c r="AA277" s="1160"/>
      <c r="AB277" s="1632"/>
      <c r="AC277" s="566"/>
      <c r="AD277" s="566"/>
      <c r="AE277" s="566"/>
      <c r="AF277" s="566"/>
      <c r="AG277" s="1641">
        <v>11</v>
      </c>
    </row>
    <row s="1641" customFormat="1" customHeight="1" ht="11.549999999999999">
      <c r="A278" s="987"/>
      <c r="B278" s="1636"/>
      <c r="C278" s="1636"/>
      <c r="D278" s="351"/>
      <c r="J278" s="1641"/>
      <c r="L278" s="1160"/>
      <c r="M278" s="1636"/>
      <c r="N278" s="1636"/>
      <c r="O278" s="1160"/>
      <c r="P278" s="1160"/>
      <c r="Q278" s="1160"/>
      <c r="R278" s="1160"/>
      <c r="S278" s="1636"/>
      <c r="T278" s="1160"/>
      <c r="U278" s="1160"/>
      <c r="V278" s="544"/>
      <c r="W278" s="1160"/>
      <c r="X278" s="1160"/>
      <c r="Y278" s="1160"/>
      <c r="Z278" s="1160"/>
      <c r="AA278" s="1160"/>
      <c r="AB278" s="1632"/>
      <c r="AC278" s="566"/>
      <c r="AD278" s="566"/>
      <c r="AE278" s="566"/>
      <c r="AF278" s="566"/>
      <c r="AG278" s="1641">
        <v>11</v>
      </c>
    </row>
    <row s="1641" customFormat="1" customHeight="1" ht="11.549999999999999">
      <c r="A279" s="987"/>
      <c r="B279" s="1636"/>
      <c r="C279" s="1636"/>
      <c r="D279" s="351"/>
      <c r="J279" s="1641"/>
      <c r="L279" s="1160"/>
      <c r="M279" s="1636"/>
      <c r="N279" s="1636"/>
      <c r="O279" s="1160"/>
      <c r="P279" s="1160"/>
      <c r="Q279" s="1160"/>
      <c r="R279" s="1160"/>
      <c r="S279" s="1636"/>
      <c r="T279" s="1160"/>
      <c r="U279" s="1160"/>
      <c r="V279" s="544"/>
      <c r="W279" s="1160"/>
      <c r="X279" s="1160"/>
      <c r="Y279" s="1160"/>
      <c r="Z279" s="1160"/>
      <c r="AA279" s="1160"/>
      <c r="AB279" s="1632"/>
      <c r="AC279" s="566"/>
      <c r="AD279" s="566"/>
      <c r="AE279" s="566"/>
      <c r="AF279" s="566"/>
      <c r="AG279" s="1641">
        <v>11</v>
      </c>
    </row>
    <row s="1641" customFormat="1" customHeight="1" ht="11.549999999999999">
      <c r="A280" s="987"/>
      <c r="B280" s="1636"/>
      <c r="C280" s="1636"/>
      <c r="D280" s="351"/>
      <c r="J280" s="1641"/>
      <c r="L280" s="1160"/>
      <c r="M280" s="1636"/>
      <c r="N280" s="1636"/>
      <c r="O280" s="1160"/>
      <c r="P280" s="1160"/>
      <c r="Q280" s="1160"/>
      <c r="R280" s="1160"/>
      <c r="S280" s="1636"/>
      <c r="T280" s="1160"/>
      <c r="U280" s="1160"/>
      <c r="V280" s="544"/>
      <c r="W280" s="1160"/>
      <c r="X280" s="1160"/>
      <c r="Y280" s="1160"/>
      <c r="Z280" s="1160"/>
      <c r="AA280" s="1160"/>
      <c r="AB280" s="1632"/>
      <c r="AC280" s="566"/>
      <c r="AD280" s="566"/>
      <c r="AE280" s="566"/>
      <c r="AF280" s="566"/>
      <c r="AG280" s="1641">
        <v>11</v>
      </c>
    </row>
    <row s="1641" customFormat="1" customHeight="1" ht="11.549999999999999">
      <c r="A281" s="987"/>
      <c r="B281" s="1636"/>
      <c r="C281" s="1636"/>
      <c r="D281" s="351"/>
      <c r="J281" s="1641"/>
      <c r="L281" s="1160"/>
      <c r="M281" s="1636"/>
      <c r="N281" s="1636"/>
      <c r="O281" s="1160"/>
      <c r="P281" s="1160"/>
      <c r="Q281" s="1160"/>
      <c r="R281" s="1160"/>
      <c r="S281" s="1636"/>
      <c r="T281" s="1160"/>
      <c r="U281" s="1160"/>
      <c r="V281" s="544"/>
      <c r="W281" s="1160"/>
      <c r="X281" s="1160"/>
      <c r="Y281" s="1160"/>
      <c r="Z281" s="1160"/>
      <c r="AA281" s="1160"/>
      <c r="AB281" s="1632"/>
      <c r="AC281" s="566"/>
      <c r="AD281" s="566"/>
      <c r="AE281" s="566"/>
      <c r="AF281" s="566"/>
      <c r="AG281" s="1641">
        <v>11</v>
      </c>
    </row>
    <row s="1641" customFormat="1" customHeight="1" ht="11.549999999999999">
      <c r="A282" s="987"/>
      <c r="B282" s="1636"/>
      <c r="C282" s="1636"/>
      <c r="D282" s="351"/>
      <c r="J282" s="1641"/>
      <c r="L282" s="1160"/>
      <c r="M282" s="1636"/>
      <c r="N282" s="1636"/>
      <c r="O282" s="1160"/>
      <c r="P282" s="1160"/>
      <c r="Q282" s="1160"/>
      <c r="R282" s="1160"/>
      <c r="S282" s="1636"/>
      <c r="T282" s="1160"/>
      <c r="U282" s="1160"/>
      <c r="V282" s="544"/>
      <c r="W282" s="1160"/>
      <c r="X282" s="1160"/>
      <c r="Y282" s="1160"/>
      <c r="Z282" s="1160"/>
      <c r="AA282" s="1160"/>
      <c r="AB282" s="1632"/>
      <c r="AC282" s="566"/>
      <c r="AD282" s="566"/>
      <c r="AE282" s="566"/>
      <c r="AF282" s="566"/>
      <c r="AG282" s="1641">
        <v>11</v>
      </c>
    </row>
    <row s="1641" customFormat="1" customHeight="1" ht="11.549999999999999">
      <c r="A283" s="987"/>
      <c r="B283" s="1636"/>
      <c r="C283" s="1636"/>
      <c r="D283" s="351"/>
      <c r="J283" s="1641"/>
      <c r="L283" s="1160"/>
      <c r="M283" s="1636"/>
      <c r="N283" s="1636"/>
      <c r="O283" s="1160"/>
      <c r="P283" s="1160"/>
      <c r="Q283" s="1160"/>
      <c r="R283" s="1160"/>
      <c r="S283" s="1636"/>
      <c r="T283" s="1160"/>
      <c r="U283" s="1160"/>
      <c r="V283" s="544"/>
      <c r="W283" s="1160"/>
      <c r="X283" s="1160"/>
      <c r="Y283" s="1160"/>
      <c r="Z283" s="1160"/>
      <c r="AA283" s="1160"/>
      <c r="AB283" s="1632"/>
      <c r="AC283" s="566"/>
      <c r="AD283" s="566"/>
      <c r="AE283" s="566"/>
      <c r="AF283" s="566"/>
      <c r="AG283" s="1641">
        <v>11</v>
      </c>
    </row>
    <row s="1641" customFormat="1" customHeight="1" ht="11.549999999999999">
      <c r="A284" s="987"/>
      <c r="B284" s="1636"/>
      <c r="C284" s="1636"/>
      <c r="D284" s="351"/>
      <c r="J284" s="1641"/>
      <c r="L284" s="1160"/>
      <c r="M284" s="1636"/>
      <c r="N284" s="1636"/>
      <c r="O284" s="1160"/>
      <c r="P284" s="1160"/>
      <c r="Q284" s="1160"/>
      <c r="R284" s="1160"/>
      <c r="S284" s="1636"/>
      <c r="T284" s="1160"/>
      <c r="U284" s="1160"/>
      <c r="V284" s="544"/>
      <c r="W284" s="1160"/>
      <c r="X284" s="1160"/>
      <c r="Y284" s="1160"/>
      <c r="Z284" s="1160"/>
      <c r="AA284" s="1160"/>
      <c r="AB284" s="1632"/>
      <c r="AC284" s="566"/>
      <c r="AD284" s="566"/>
      <c r="AE284" s="566"/>
      <c r="AF284" s="566"/>
      <c r="AG284" s="1641">
        <v>11</v>
      </c>
    </row>
    <row s="1641" customFormat="1" customHeight="1" ht="11.549999999999999">
      <c r="A285" s="987"/>
      <c r="B285" s="1636"/>
      <c r="C285" s="1636"/>
      <c r="D285" s="351"/>
      <c r="J285" s="1641"/>
      <c r="L285" s="1160"/>
      <c r="M285" s="1636"/>
      <c r="N285" s="1636"/>
      <c r="O285" s="1160"/>
      <c r="P285" s="1160"/>
      <c r="Q285" s="1160"/>
      <c r="R285" s="1160"/>
      <c r="S285" s="1636"/>
      <c r="T285" s="1160"/>
      <c r="U285" s="1160"/>
      <c r="V285" s="544"/>
      <c r="W285" s="1160"/>
      <c r="X285" s="1160"/>
      <c r="Y285" s="1160"/>
      <c r="Z285" s="1160"/>
      <c r="AA285" s="1160"/>
      <c r="AB285" s="1632"/>
      <c r="AC285" s="566"/>
      <c r="AD285" s="566"/>
      <c r="AE285" s="566"/>
      <c r="AF285" s="566"/>
      <c r="AG285" s="1641">
        <v>11</v>
      </c>
    </row>
    <row s="1641" customFormat="1" customHeight="1" ht="11.549999999999999">
      <c r="A286" s="987"/>
      <c r="B286" s="1636"/>
      <c r="C286" s="1636"/>
      <c r="D286" s="351"/>
      <c r="J286" s="1641"/>
      <c r="L286" s="1160"/>
      <c r="M286" s="1636"/>
      <c r="N286" s="1636"/>
      <c r="O286" s="1160"/>
      <c r="P286" s="1160"/>
      <c r="Q286" s="1160"/>
      <c r="R286" s="1160"/>
      <c r="S286" s="1636"/>
      <c r="T286" s="1160"/>
      <c r="U286" s="1160"/>
      <c r="V286" s="544"/>
      <c r="W286" s="1160"/>
      <c r="X286" s="1160"/>
      <c r="Y286" s="1160"/>
      <c r="Z286" s="1160"/>
      <c r="AA286" s="1160"/>
      <c r="AB286" s="1632"/>
      <c r="AC286" s="566"/>
      <c r="AD286" s="566"/>
      <c r="AE286" s="566"/>
      <c r="AF286" s="566"/>
      <c r="AG286" s="1641">
        <v>11</v>
      </c>
    </row>
    <row s="1641" customFormat="1" customHeight="1" ht="11.549999999999999">
      <c r="A287" s="987"/>
      <c r="B287" s="1636"/>
      <c r="C287" s="1636"/>
      <c r="D287" s="351"/>
      <c r="J287" s="1641"/>
      <c r="L287" s="1160"/>
      <c r="M287" s="1636"/>
      <c r="N287" s="1636"/>
      <c r="O287" s="1160"/>
      <c r="P287" s="1160"/>
      <c r="Q287" s="1160"/>
      <c r="R287" s="1160"/>
      <c r="S287" s="1636"/>
      <c r="T287" s="1160"/>
      <c r="U287" s="1160"/>
      <c r="V287" s="544"/>
      <c r="W287" s="1160"/>
      <c r="X287" s="1160"/>
      <c r="Y287" s="1160"/>
      <c r="Z287" s="1160"/>
      <c r="AA287" s="1160"/>
      <c r="AB287" s="1632"/>
      <c r="AC287" s="566"/>
      <c r="AD287" s="566"/>
      <c r="AE287" s="566"/>
      <c r="AF287" s="566"/>
      <c r="AG287" s="1641">
        <v>11</v>
      </c>
    </row>
    <row s="1641" customFormat="1" customHeight="1" ht="11.549999999999999">
      <c r="A288" s="987"/>
      <c r="B288" s="1636"/>
      <c r="C288" s="1636"/>
      <c r="D288" s="351"/>
      <c r="J288" s="1641"/>
      <c r="L288" s="1160"/>
      <c r="M288" s="1636"/>
      <c r="N288" s="1636"/>
      <c r="O288" s="1160"/>
      <c r="P288" s="1160"/>
      <c r="Q288" s="1160"/>
      <c r="R288" s="1160"/>
      <c r="S288" s="1636"/>
      <c r="T288" s="1160"/>
      <c r="U288" s="1160"/>
      <c r="V288" s="544"/>
      <c r="W288" s="1160"/>
      <c r="X288" s="1160"/>
      <c r="Y288" s="1160"/>
      <c r="Z288" s="1160"/>
      <c r="AA288" s="1160"/>
      <c r="AB288" s="1632"/>
      <c r="AC288" s="566"/>
      <c r="AD288" s="566"/>
      <c r="AE288" s="566"/>
      <c r="AF288" s="566"/>
      <c r="AG288" s="1641">
        <v>11</v>
      </c>
    </row>
    <row customHeight="1" ht="11.549999999999999">
      <c r="J289" s="1635"/>
      <c r="AG289" s="1631">
        <v>11</v>
      </c>
    </row>
    <row customHeight="1" ht="11.549999999999999">
      <c r="J290" s="1635"/>
      <c r="AG290" s="1631">
        <v>11</v>
      </c>
    </row>
    <row customHeight="1" ht="11.549999999999999">
      <c r="J291" s="1635"/>
      <c r="AG291" s="1631">
        <v>11</v>
      </c>
    </row>
    <row customHeight="1" ht="11.549999999999999">
      <c r="A292" s="990"/>
      <c r="B292" s="1631"/>
      <c r="D292" s="1631"/>
      <c r="J292" s="1635"/>
      <c r="L292" s="1631"/>
      <c r="O292" s="1631"/>
      <c r="P292" s="1631"/>
      <c r="Q292" s="1631"/>
      <c r="R292" s="1631"/>
      <c r="T292" s="1631"/>
      <c r="U292" s="1631"/>
      <c r="V292" s="1631"/>
      <c r="W292" s="1631"/>
      <c r="X292" s="1631"/>
      <c r="Y292" s="1631"/>
      <c r="Z292" s="1631"/>
      <c r="AA292" s="1631"/>
      <c r="AB292" s="1631"/>
      <c r="AC292" s="1631"/>
      <c r="AD292" s="1631"/>
      <c r="AE292" s="1631"/>
      <c r="AF292" s="1631"/>
      <c r="AG292" s="1631">
        <v>11</v>
      </c>
    </row>
    <row customHeight="1" ht="11.549999999999999">
      <c r="A293" s="990"/>
      <c r="B293" s="1631"/>
      <c r="D293" s="1631"/>
      <c r="J293" s="1635"/>
      <c r="L293" s="1631"/>
      <c r="O293" s="1631"/>
      <c r="P293" s="1631"/>
      <c r="Q293" s="1631"/>
      <c r="R293" s="1631"/>
      <c r="T293" s="1631"/>
      <c r="U293" s="1631"/>
      <c r="V293" s="1631"/>
      <c r="W293" s="1631"/>
      <c r="X293" s="1631"/>
      <c r="Y293" s="1631"/>
      <c r="Z293" s="1631"/>
      <c r="AA293" s="1631"/>
      <c r="AB293" s="1631"/>
      <c r="AC293" s="1631"/>
      <c r="AD293" s="1631"/>
      <c r="AE293" s="1631"/>
      <c r="AF293" s="1631"/>
      <c r="AG293" s="1631">
        <v>11</v>
      </c>
    </row>
    <row customHeight="1" ht="11.549999999999999">
      <c r="A294" s="990"/>
      <c r="B294" s="1631"/>
      <c r="D294" s="1631"/>
      <c r="J294" s="1635"/>
      <c r="L294" s="1631"/>
      <c r="O294" s="1631"/>
      <c r="P294" s="1631"/>
      <c r="Q294" s="1631"/>
      <c r="R294" s="1631"/>
      <c r="T294" s="1631"/>
      <c r="U294" s="1631"/>
      <c r="V294" s="1631"/>
      <c r="W294" s="1631"/>
      <c r="X294" s="1631"/>
      <c r="Y294" s="1631"/>
      <c r="Z294" s="1631"/>
      <c r="AA294" s="1631"/>
      <c r="AB294" s="1631"/>
      <c r="AC294" s="1631"/>
      <c r="AD294" s="1631"/>
      <c r="AE294" s="1631"/>
      <c r="AF294" s="1631"/>
      <c r="AG294" s="1631">
        <v>11</v>
      </c>
    </row>
    <row customHeight="1" ht="11.549999999999999">
      <c r="A295" s="990"/>
      <c r="B295" s="1631"/>
      <c r="D295" s="1631"/>
      <c r="J295" s="1635"/>
      <c r="L295" s="1631"/>
      <c r="O295" s="1631"/>
      <c r="P295" s="1631"/>
      <c r="Q295" s="1631"/>
      <c r="R295" s="1631"/>
      <c r="T295" s="1631"/>
      <c r="U295" s="1631"/>
      <c r="V295" s="1631"/>
      <c r="W295" s="1631"/>
      <c r="X295" s="1631"/>
      <c r="Y295" s="1631"/>
      <c r="Z295" s="1631"/>
      <c r="AA295" s="1631"/>
      <c r="AB295" s="1631"/>
      <c r="AC295" s="1631"/>
      <c r="AD295" s="1631"/>
      <c r="AE295" s="1631"/>
      <c r="AF295" s="1631"/>
      <c r="AG295" s="1631">
        <v>11</v>
      </c>
    </row>
    <row customHeight="1" ht="11.549999999999999">
      <c r="A296" s="990"/>
      <c r="B296" s="1631"/>
      <c r="D296" s="1631"/>
      <c r="J296" s="1635"/>
      <c r="L296" s="1631"/>
      <c r="O296" s="1631"/>
      <c r="P296" s="1631"/>
      <c r="Q296" s="1631"/>
      <c r="R296" s="1631"/>
      <c r="T296" s="1631"/>
      <c r="U296" s="1631"/>
      <c r="V296" s="1631"/>
      <c r="W296" s="1631"/>
      <c r="X296" s="1631"/>
      <c r="Y296" s="1631"/>
      <c r="Z296" s="1631"/>
      <c r="AA296" s="1631"/>
      <c r="AB296" s="1631"/>
      <c r="AC296" s="1631"/>
      <c r="AD296" s="1631"/>
      <c r="AE296" s="1631"/>
      <c r="AF296" s="1631"/>
      <c r="AG296" s="1631">
        <v>11</v>
      </c>
    </row>
    <row customHeight="1" ht="11.549999999999999">
      <c r="A297" s="990"/>
      <c r="B297" s="1631"/>
      <c r="D297" s="1631"/>
      <c r="J297" s="1635"/>
      <c r="L297" s="1631"/>
      <c r="O297" s="1631"/>
      <c r="P297" s="1631"/>
      <c r="Q297" s="1631"/>
      <c r="R297" s="1631"/>
      <c r="T297" s="1631"/>
      <c r="U297" s="1631"/>
      <c r="V297" s="1631"/>
      <c r="W297" s="1631"/>
      <c r="X297" s="1631"/>
      <c r="Y297" s="1631"/>
      <c r="Z297" s="1631"/>
      <c r="AA297" s="1631"/>
      <c r="AB297" s="1631"/>
      <c r="AC297" s="1631"/>
      <c r="AD297" s="1631"/>
      <c r="AE297" s="1631"/>
      <c r="AF297" s="1631"/>
      <c r="AG297" s="1631">
        <v>11</v>
      </c>
    </row>
    <row customHeight="1" ht="11.549999999999999">
      <c r="A298" s="990"/>
      <c r="B298" s="1631"/>
      <c r="D298" s="1631"/>
      <c r="J298" s="1635"/>
      <c r="L298" s="1631"/>
      <c r="O298" s="1631"/>
      <c r="P298" s="1631"/>
      <c r="Q298" s="1631"/>
      <c r="R298" s="1631"/>
      <c r="T298" s="1631"/>
      <c r="U298" s="1631"/>
      <c r="V298" s="1631"/>
      <c r="W298" s="1631"/>
      <c r="X298" s="1631"/>
      <c r="Y298" s="1631"/>
      <c r="Z298" s="1631"/>
      <c r="AA298" s="1631"/>
      <c r="AB298" s="1631"/>
      <c r="AC298" s="1631"/>
      <c r="AD298" s="1631"/>
      <c r="AE298" s="1631"/>
      <c r="AF298" s="1631"/>
      <c r="AG298" s="1631">
        <v>11</v>
      </c>
    </row>
    <row customHeight="1" ht="11.549999999999999">
      <c r="A299" s="990"/>
      <c r="B299" s="1631"/>
      <c r="D299" s="1631"/>
      <c r="J299" s="1635"/>
      <c r="L299" s="1631"/>
      <c r="O299" s="1631"/>
      <c r="P299" s="1631"/>
      <c r="Q299" s="1631"/>
      <c r="R299" s="1631"/>
      <c r="T299" s="1631"/>
      <c r="U299" s="1631"/>
      <c r="V299" s="1631"/>
      <c r="W299" s="1631"/>
      <c r="X299" s="1631"/>
      <c r="Y299" s="1631"/>
      <c r="Z299" s="1631"/>
      <c r="AA299" s="1631"/>
      <c r="AB299" s="1631"/>
      <c r="AC299" s="1631"/>
      <c r="AD299" s="1631"/>
      <c r="AE299" s="1631"/>
      <c r="AF299" s="1631"/>
      <c r="AG299" s="1631">
        <v>11</v>
      </c>
    </row>
    <row customHeight="1" ht="11.549999999999999">
      <c r="A300" s="990"/>
      <c r="B300" s="1631"/>
      <c r="D300" s="1631"/>
      <c r="J300" s="1635"/>
      <c r="L300" s="1631"/>
      <c r="O300" s="1631"/>
      <c r="P300" s="1631"/>
      <c r="Q300" s="1631"/>
      <c r="R300" s="1631"/>
      <c r="T300" s="1631"/>
      <c r="U300" s="1631"/>
      <c r="V300" s="1631"/>
      <c r="W300" s="1631"/>
      <c r="X300" s="1631"/>
      <c r="Y300" s="1631"/>
      <c r="Z300" s="1631"/>
      <c r="AA300" s="1631"/>
      <c r="AB300" s="1631"/>
      <c r="AC300" s="1631"/>
      <c r="AD300" s="1631"/>
      <c r="AE300" s="1631"/>
      <c r="AF300" s="1631"/>
      <c r="AG300" s="1631">
        <v>11</v>
      </c>
    </row>
    <row customHeight="1" ht="11.549999999999999">
      <c r="A301" s="990"/>
      <c r="B301" s="1631"/>
      <c r="D301" s="1631"/>
      <c r="J301" s="1635"/>
      <c r="L301" s="1631"/>
      <c r="O301" s="1631"/>
      <c r="P301" s="1631"/>
      <c r="Q301" s="1631"/>
      <c r="R301" s="1631"/>
      <c r="T301" s="1631"/>
      <c r="U301" s="1631"/>
      <c r="V301" s="1631"/>
      <c r="W301" s="1631"/>
      <c r="X301" s="1631"/>
      <c r="Y301" s="1631"/>
      <c r="Z301" s="1631"/>
      <c r="AA301" s="1631"/>
      <c r="AB301" s="1631"/>
      <c r="AC301" s="1631"/>
      <c r="AD301" s="1631"/>
      <c r="AE301" s="1631"/>
      <c r="AF301" s="1631"/>
      <c r="AG301" s="1631">
        <v>11</v>
      </c>
    </row>
    <row customHeight="1" ht="11.549999999999999">
      <c r="A302" s="990"/>
      <c r="B302" s="1631"/>
      <c r="D302" s="1631"/>
      <c r="J302" s="1635"/>
      <c r="L302" s="1631"/>
      <c r="O302" s="1631"/>
      <c r="P302" s="1631"/>
      <c r="Q302" s="1631"/>
      <c r="R302" s="1631"/>
      <c r="T302" s="1631"/>
      <c r="U302" s="1631"/>
      <c r="V302" s="1631"/>
      <c r="W302" s="1631"/>
      <c r="X302" s="1631"/>
      <c r="Y302" s="1631"/>
      <c r="Z302" s="1631"/>
      <c r="AA302" s="1631"/>
      <c r="AB302" s="1631"/>
      <c r="AC302" s="1631"/>
      <c r="AD302" s="1631"/>
      <c r="AE302" s="1631"/>
      <c r="AF302" s="1631"/>
      <c r="AG302" s="1631">
        <v>11</v>
      </c>
    </row>
    <row customHeight="1" ht="11.25" hidden="1">
      <c r="A303" s="987" t="s">
        <v>82</v>
      </c>
      <c r="B303" s="1160">
        <v>0</v>
      </c>
      <c r="C303" s="1636">
        <v>0</v>
      </c>
      <c r="D303" s="1635">
        <v>3</v>
      </c>
      <c r="E303" s="1631">
        <v>7</v>
      </c>
      <c r="F303" s="1631">
        <v>54</v>
      </c>
      <c r="G303" s="1631">
        <v>10</v>
      </c>
      <c r="H303" s="1631">
        <v>0</v>
      </c>
      <c r="I303" s="1631">
        <v>40</v>
      </c>
      <c r="J303" s="1635">
        <v>0</v>
      </c>
      <c r="K303" s="1631">
        <v>102</v>
      </c>
      <c r="L303" s="1160">
        <v>9</v>
      </c>
      <c r="M303" s="1636">
        <v>5</v>
      </c>
      <c r="N303" s="1636">
        <v>3</v>
      </c>
      <c r="O303" s="1160">
        <v>3</v>
      </c>
      <c r="P303" s="1160">
        <v>3</v>
      </c>
      <c r="Q303" s="1160">
        <v>3</v>
      </c>
      <c r="R303" s="1160">
        <v>3</v>
      </c>
      <c r="S303" s="1636">
        <v>10</v>
      </c>
      <c r="T303" s="1160">
        <v>34</v>
      </c>
      <c r="U303" s="1160">
        <v>9</v>
      </c>
      <c r="V303" s="544">
        <v>8</v>
      </c>
      <c r="W303" s="1160">
        <v>8</v>
      </c>
      <c r="X303" s="1160">
        <v>8</v>
      </c>
      <c r="Y303" s="1160">
        <v>8</v>
      </c>
      <c r="Z303" s="1160">
        <v>8</v>
      </c>
      <c r="AA303" s="1160">
        <v>8</v>
      </c>
      <c r="AB303" s="1632">
        <v>8</v>
      </c>
      <c r="AC303" s="1632">
        <v>8</v>
      </c>
      <c r="AD303" s="1632">
        <v>8</v>
      </c>
      <c r="AE303" s="1632">
        <v>8</v>
      </c>
      <c r="AF303" s="1632">
        <v>8</v>
      </c>
      <c r="AG303" s="1631">
        <v>11</v>
      </c>
    </row>
  </sheetData>
  <sheetProtection formatColumns="0" formatRows="0" autoFilter="0" sort="0" insertRows="0" insertColumns="1" deleteRows="0" deleteColumns="0"/>
  <mergeCells count="18">
    <mergeCell ref="A120:A130"/>
    <mergeCell ref="E21:I21"/>
    <mergeCell ref="E22:I22"/>
    <mergeCell ref="A33:A40"/>
    <mergeCell ref="B34:B39"/>
    <mergeCell ref="A41:A43"/>
    <mergeCell ref="A67:A68"/>
    <mergeCell ref="A82:A90"/>
    <mergeCell ref="A91:A95"/>
    <mergeCell ref="A96:A98"/>
    <mergeCell ref="A99:A111"/>
    <mergeCell ref="A115:A119"/>
    <mergeCell ref="B2:B7"/>
    <mergeCell ref="K25:K29"/>
    <mergeCell ref="F25:G25"/>
    <mergeCell ref="F26:G26"/>
    <mergeCell ref="F27:G27"/>
    <mergeCell ref="E28:G28"/>
  </mergeCells>
  <dataValidations count="12">
    <dataValidation type="list" allowBlank="1" showInputMessage="1" showErrorMessage="1" errorTitle="Ошибка" error="Выберите значение из списка" prompt="Выберите значение из списка" sqref="H7:J7">
      <formula1>kind_of_purchase_method</formula1>
    </dataValidation>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F12 F10 H70:J70">
      <formula1>900</formula1>
    </dataValidation>
    <dataValidation type="textLength" operator="lessThanOrEqual" allowBlank="1" showInputMessage="1" showErrorMessage="1" errorTitle="Ошибка" error="Допускается ввод не более 900 символов!" sqref="G4 H34:J34 H39:J39">
      <formula1>900</formula1>
    </dataValidation>
    <dataValidation type="decimal" allowBlank="1" showErrorMessage="1" errorTitle="Ошибка" error="Допускается ввод только неотрицательных чисел!" sqref="H67:J67 H69:J69 H91:J94 H127:J127 H30:J30 H32:J33 H35:J38 H40:J65 H82:J86 H17:J17 H9:J13 H15:J15 H96:J119 H74:J74 H88:J89 H4:J6">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источник тепловой энергии" sqref="1:1">
      <formula1>900</formula1>
    </dataValidation>
    <dataValidation type="list" allowBlank="1" showInputMessage="1" showErrorMessage="1" errorTitle="Ошибка" error="Выберите значение из списка" prompt="Выберите значение из списка" sqref="F2">
      <formula1>kind_of_fuels</formula1>
    </dataValidation>
    <dataValidation type="list" allowBlank="1" showInputMessage="1" showErrorMessage="1" errorTitle="Ошибка" error="Выберите значение из списка" prompt="Выберите значение из списка" sqref="G93">
      <formula1>kind_of_volume_te_unit</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128:J130 H81:J81">
      <formula1>900</formula1>
    </dataValidation>
    <dataValidation type="decimal" allowBlank="1" showErrorMessage="1" errorTitle="Ошибка" error="Допускается ввод только действительных чисел!" sqref="H72:J73">
      <formula1>-9.99999999999999E+23</formula1>
      <formula2>9.99999999999999E+23</formula2>
    </dataValidation>
    <dataValidation type="decimal" allowBlank="1" showErrorMessage="1" errorTitle="Ошибка" error="Допускается ввод только действительных чисел!" sqref="H123:J123 H120:J120 H126:J126 H75:J80">
      <formula1>-9.99999999999999E+37</formula1>
      <formula2>9.99999999999999E+37</formula2>
    </dataValidation>
    <dataValidation type="decimal" allowBlank="1" showErrorMessage="1" errorTitle="Ошибка" error="Введите значение от 0 до 100%" sqref="H90:J90 H95:J95">
      <formula1>0</formula1>
      <formula2>100</formula2>
    </dataValidation>
    <dataValidation allowBlank="1" showInputMessage="1" showErrorMessage="1" prompt="Для выбора выполните двойной щелчок левой клавиши мыши по соответствующей ячейке." sqref="H68:J68 H66:J66"/>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F5CCD56-3557-9594-539D-236FAD9ADBE9}" mc:Ignorable="x14ac xr xr2 xr3">
  <sheetPr>
    <tabColor theme="9" tint="-0.25"/>
  </sheetPr>
  <dimension ref="A1:CF38"/>
  <sheetViews>
    <sheetView topLeftCell="C4" showGridLines="0" zoomScale="90" workbookViewId="0">
      <selection activeCell="A23" sqref="A23:XFD31"/>
    </sheetView>
  </sheetViews>
  <sheetFormatPr defaultColWidth="9.140625" customHeight="1" defaultRowHeight="11.25"/>
  <cols>
    <col min="1" max="1" style="943" width="14.7109375" hidden="1" customWidth="1"/>
    <col min="2" max="2" style="1632" width="17.00390625" hidden="1" customWidth="1"/>
    <col min="3" max="3" style="1635" width="3.00390625" customWidth="1"/>
    <col min="4" max="4" style="1635" width="1.8515625" hidden="1" customWidth="1"/>
    <col min="5" max="6" style="1635" width="7.00390625" customWidth="1"/>
    <col min="7" max="7" style="1635" width="29.00390625" customWidth="1"/>
    <col min="8" max="8" style="1635" width="3.7109375" customWidth="1"/>
    <col min="9" max="9" style="1635" width="5.00390625" customWidth="1"/>
    <col min="10" max="11" style="1635" width="24.00390625" customWidth="1"/>
    <col min="12" max="12" style="1635" width="3.00390625" customWidth="1"/>
    <col min="13" max="13" style="1635" width="6.00390625" customWidth="1"/>
    <col min="14" max="14" style="1635" width="25.00390625" customWidth="1"/>
    <col min="15" max="18" style="1635" width="18.00390625" customWidth="1"/>
    <col min="19" max="19" style="1635" width="93.00390625" customWidth="1"/>
    <col min="20" max="20" style="1635" width="10.00390625" customWidth="1"/>
    <col min="21" max="21" style="1642" width="10.00390625" customWidth="1"/>
    <col min="22" max="22" style="1642" width="11.00390625" customWidth="1"/>
    <col min="23" max="27" style="1632" width="10.00390625" customWidth="1"/>
    <col min="28" max="83" style="1635" width="8.00390625" customWidth="1"/>
    <col min="84" max="84" style="1635" width="9.140625" hidden="1"/>
  </cols>
  <sheetData>
    <row customHeight="1" ht="22.5" hidden="1">
      <c r="CF1" s="505" t="s">
        <v>14</v>
      </c>
    </row>
    <row customHeight="1" ht="11.25" hidden="1">
      <c r="CF2" s="505">
        <v>0</v>
      </c>
    </row>
    <row customHeight="1" ht="11.25" hidden="1">
      <c r="CF3" s="505">
        <v>0</v>
      </c>
    </row>
    <row customHeight="1" ht="3">
      <c r="C4" s="509"/>
      <c r="D4" s="509"/>
      <c r="E4" s="509"/>
      <c r="F4" s="509"/>
      <c r="G4" s="509"/>
      <c r="H4" s="509"/>
      <c r="I4" s="509"/>
      <c r="J4" s="509"/>
      <c r="K4" s="166"/>
      <c r="L4" s="166"/>
      <c r="M4" s="166"/>
      <c r="CF4" s="505">
        <v>3</v>
      </c>
    </row>
    <row customHeight="1" ht="29.25">
      <c r="C5" s="509"/>
      <c r="D5" s="1057"/>
      <c r="E5" s="2237" t="str">
        <f>FHD20_NAME_FORM</f>
        <v>Форма 11. Информация о расходах на капитальный и текущий ремонт основных средств</v>
      </c>
      <c r="F5" s="2237"/>
      <c r="G5" s="2237"/>
      <c r="H5" s="2237"/>
      <c r="I5" s="2237"/>
      <c r="J5" s="2237"/>
      <c r="K5" s="2237"/>
      <c r="L5" s="613"/>
      <c r="M5" s="613"/>
      <c r="CF5" s="505">
        <v>28</v>
      </c>
    </row>
    <row s="1635" customFormat="1" customHeight="1" ht="16.8">
      <c r="A6" s="610"/>
      <c r="B6" s="759"/>
      <c r="C6" s="509"/>
      <c r="D6" s="1058"/>
      <c r="E6" s="2176" t="str">
        <f>IF(org=0,"Не определено",org)</f>
        <v>ПАО "ОГК-2"</v>
      </c>
      <c r="F6" s="2176"/>
      <c r="G6" s="2176"/>
      <c r="H6" s="2176"/>
      <c r="I6" s="2176"/>
      <c r="J6" s="2176"/>
      <c r="K6" s="2176"/>
      <c r="L6" s="613"/>
      <c r="M6" s="613"/>
      <c r="U6" s="611"/>
      <c r="V6" s="611"/>
      <c r="W6" s="612"/>
      <c r="X6" s="759"/>
      <c r="Y6" s="759"/>
      <c r="Z6" s="759"/>
      <c r="AA6" s="759"/>
      <c r="CF6" s="758">
        <v>16</v>
      </c>
    </row>
    <row customHeight="1" ht="11.549999999999999">
      <c r="C7" s="509"/>
      <c r="D7" s="509"/>
      <c r="E7" s="509"/>
      <c r="F7" s="509"/>
      <c r="G7" s="522"/>
      <c r="H7" s="522"/>
      <c r="I7" s="522"/>
      <c r="J7" s="522"/>
      <c r="K7" s="614"/>
      <c r="L7" s="614"/>
      <c r="M7" s="614"/>
      <c r="R7" s="752"/>
      <c r="CF7" s="505">
        <v>11</v>
      </c>
    </row>
    <row s="1641" customFormat="1" customHeight="1" ht="4.2">
      <c r="A8" s="621"/>
      <c r="B8" s="566"/>
      <c r="C8" s="351"/>
      <c r="D8" s="351"/>
      <c r="E8" s="351"/>
      <c r="F8" s="351"/>
      <c r="G8" s="975"/>
      <c r="H8" s="975"/>
      <c r="I8" s="975"/>
      <c r="J8" s="975"/>
      <c r="K8" s="1018"/>
      <c r="L8" s="1018"/>
      <c r="M8" s="1018"/>
      <c r="R8" s="1019"/>
      <c r="U8" s="611"/>
      <c r="V8" s="611"/>
      <c r="W8" s="622"/>
      <c r="X8" s="566"/>
      <c r="Y8" s="566"/>
      <c r="Z8" s="566"/>
      <c r="AA8" s="566"/>
      <c r="CF8" s="496">
        <v>4</v>
      </c>
    </row>
    <row customHeight="1" ht="19.95">
      <c r="D9" s="289"/>
      <c r="E9" s="2101" t="s">
        <v>302</v>
      </c>
      <c r="F9" s="2102"/>
      <c r="G9" s="2102"/>
      <c r="H9" s="2102"/>
      <c r="I9" s="2102"/>
      <c r="J9" s="2102"/>
      <c r="K9" s="2102"/>
      <c r="L9" s="2102"/>
      <c r="M9" s="2102"/>
      <c r="N9" s="2102"/>
      <c r="O9" s="2102"/>
      <c r="P9" s="2102"/>
      <c r="Q9" s="2102"/>
      <c r="R9" s="2103"/>
      <c r="S9" s="2127" t="s">
        <v>303</v>
      </c>
      <c r="T9" s="334"/>
      <c r="CF9" s="505">
        <v>19</v>
      </c>
    </row>
    <row customHeight="1" ht="48.29999999999999">
      <c r="D10" s="551" t="s">
        <v>88</v>
      </c>
      <c r="E10" s="2127" t="s">
        <v>88</v>
      </c>
      <c r="F10" s="2127"/>
      <c r="G10" s="521" t="s">
        <v>304</v>
      </c>
      <c r="H10" s="2127" t="s">
        <v>88</v>
      </c>
      <c r="I10" s="2127"/>
      <c r="J10" s="521" t="s">
        <v>604</v>
      </c>
      <c r="K10" s="521" t="s">
        <v>605</v>
      </c>
      <c r="L10" s="2127" t="s">
        <v>88</v>
      </c>
      <c r="M10" s="2127"/>
      <c r="N10" s="521" t="s">
        <v>606</v>
      </c>
      <c r="O10" s="521" t="s">
        <v>607</v>
      </c>
      <c r="P10" s="521" t="s">
        <v>608</v>
      </c>
      <c r="Q10" s="521" t="s">
        <v>609</v>
      </c>
      <c r="R10" s="521" t="s">
        <v>610</v>
      </c>
      <c r="S10" s="2127"/>
      <c r="T10" s="334"/>
      <c r="CF10" s="505">
        <v>46</v>
      </c>
    </row>
    <row s="1642" customFormat="1" customHeight="1" ht="15" hidden="1">
      <c r="A11" s="1052"/>
      <c r="D11" s="1025" t="s">
        <v>109</v>
      </c>
      <c r="E11" s="1025"/>
      <c r="F11" s="1025" t="s">
        <v>110</v>
      </c>
      <c r="G11" s="1025" t="s">
        <v>90</v>
      </c>
      <c r="H11" s="1025"/>
      <c r="I11" s="1025" t="s">
        <v>91</v>
      </c>
      <c r="J11" s="1025" t="s">
        <v>111</v>
      </c>
      <c r="K11" s="1025" t="s">
        <v>92</v>
      </c>
      <c r="L11" s="1025"/>
      <c r="M11" s="1025" t="s">
        <v>93</v>
      </c>
      <c r="N11" s="1025" t="s">
        <v>112</v>
      </c>
      <c r="O11" s="1025" t="s">
        <v>152</v>
      </c>
      <c r="P11" s="1025" t="s">
        <v>153</v>
      </c>
      <c r="Q11" s="1025" t="s">
        <v>154</v>
      </c>
      <c r="R11" s="1025" t="s">
        <v>155</v>
      </c>
      <c r="S11" s="1025" t="s">
        <v>156</v>
      </c>
      <c r="U11" s="611"/>
      <c r="V11" s="611"/>
      <c r="W11" s="611"/>
      <c r="CF11" s="511">
        <v>0</v>
      </c>
    </row>
    <row s="1635" customFormat="1" customHeight="1" ht="1.05">
      <c r="A12" s="615"/>
      <c r="B12" s="362"/>
      <c r="D12" s="548"/>
      <c r="E12" s="346"/>
      <c r="F12" s="346"/>
      <c r="Q12" s="616"/>
      <c r="R12" s="617"/>
      <c r="T12" s="618"/>
      <c r="U12" s="619"/>
      <c r="V12" s="619"/>
      <c r="W12" s="620"/>
      <c r="X12" s="362"/>
      <c r="Y12" s="362"/>
      <c r="Z12" s="362"/>
      <c r="AA12" s="362"/>
      <c r="CF12" s="509">
        <v>1</v>
      </c>
    </row>
    <row s="1641" customFormat="1" customHeight="1" ht="1.05">
      <c r="A13" s="621"/>
      <c r="B13" s="566"/>
      <c r="D13" s="548" t="s">
        <v>378</v>
      </c>
      <c r="E13" s="560"/>
      <c r="F13" s="560"/>
      <c r="G13" s="560"/>
      <c r="H13" s="560"/>
      <c r="I13" s="560"/>
      <c r="J13" s="560"/>
      <c r="K13" s="560"/>
      <c r="L13" s="560"/>
      <c r="M13" s="560"/>
      <c r="N13" s="560"/>
      <c r="O13" s="560"/>
      <c r="P13" s="560"/>
      <c r="Q13" s="560"/>
      <c r="R13" s="560"/>
      <c r="T13" s="334"/>
      <c r="U13" s="611"/>
      <c r="V13" s="611"/>
      <c r="W13" s="622"/>
      <c r="X13" s="566"/>
      <c r="Y13" s="566"/>
      <c r="Z13" s="566"/>
      <c r="AA13" s="566"/>
      <c r="CF13" s="496">
        <v>1</v>
      </c>
    </row>
    <row s="1850" customFormat="1" customHeight="1" ht="15" hidden="1">
      <c r="A14" s="623" t="s">
        <v>117</v>
      </c>
      <c r="B14" s="624"/>
      <c r="C14" s="624"/>
      <c r="D14" s="2380" t="s">
        <v>109</v>
      </c>
      <c r="E14" s="2377" t="s">
        <v>105</v>
      </c>
      <c r="F14" s="2378"/>
      <c r="G14" s="2379"/>
      <c r="H14" s="2383" t="str">
        <f>IF(A14="","",INDEX(DIFFERENTIATION_UNMERGE_VD,MATCH(A14,DIFFERENTIATION_ID_DIFF,0)))</f>
        <v>Производство тепловой энергии. Некомбинированная выработка</v>
      </c>
      <c r="I14" s="2383"/>
      <c r="J14" s="2383"/>
      <c r="K14" s="2383"/>
      <c r="L14" s="2383"/>
      <c r="M14" s="2383"/>
      <c r="N14" s="2383"/>
      <c r="O14" s="2383"/>
      <c r="P14" s="2383"/>
      <c r="Q14" s="2383"/>
      <c r="R14" s="2383"/>
      <c r="S14" s="719"/>
      <c r="T14" s="716"/>
      <c r="U14" s="625"/>
      <c r="V14" s="625"/>
      <c r="W14" s="626"/>
      <c r="X14" s="626"/>
      <c r="Y14" s="626"/>
      <c r="Z14" s="626"/>
      <c r="AA14" s="627"/>
      <c r="AB14" s="628"/>
      <c r="AC14" s="2375"/>
      <c r="AD14" s="629"/>
      <c r="AE14" s="630" t="s">
        <v>22</v>
      </c>
      <c r="AF14" s="630"/>
      <c r="AG14" s="631" t="s">
        <v>611</v>
      </c>
      <c r="AH14" s="632">
        <v>3</v>
      </c>
      <c r="AI14" s="625"/>
      <c r="AJ14" s="625"/>
      <c r="AK14" s="625"/>
      <c r="AL14" s="625"/>
      <c r="AM14" s="625"/>
      <c r="AN14" s="625"/>
      <c r="AO14" s="625"/>
      <c r="AP14" s="625"/>
      <c r="AQ14" s="625"/>
      <c r="AR14" s="625"/>
      <c r="AS14" s="625"/>
      <c r="AT14" s="625"/>
      <c r="AU14" s="625"/>
      <c r="AV14" s="625"/>
      <c r="AW14" s="625"/>
      <c r="AX14" s="625"/>
      <c r="AY14" s="625"/>
      <c r="AZ14" s="625"/>
      <c r="BA14" s="625"/>
      <c r="BB14" s="625"/>
      <c r="BC14" s="625"/>
      <c r="BD14" s="625"/>
      <c r="BE14" s="625"/>
      <c r="BF14" s="625"/>
      <c r="BG14" s="625"/>
      <c r="BH14" s="625"/>
      <c r="BI14" s="625"/>
      <c r="BJ14" s="625"/>
      <c r="BK14" s="625"/>
      <c r="BL14" s="625"/>
      <c r="BM14" s="625"/>
      <c r="BN14" s="625"/>
      <c r="BO14" s="625"/>
      <c r="BP14" s="625"/>
      <c r="BQ14" s="625"/>
      <c r="BR14" s="625"/>
      <c r="BS14" s="625"/>
      <c r="BT14" s="625"/>
      <c r="BU14" s="625"/>
      <c r="BV14" s="626"/>
      <c r="BW14" s="626"/>
      <c r="BX14" s="626"/>
      <c r="BY14" s="626"/>
      <c r="BZ14" s="626"/>
      <c r="CA14" s="626"/>
      <c r="CB14" s="626"/>
      <c r="CC14" s="626"/>
      <c r="CD14" s="626"/>
      <c r="CE14" s="626"/>
      <c r="CF14" s="293">
        <v>0</v>
      </c>
    </row>
    <row s="1850" customFormat="1" customHeight="1" ht="15" hidden="1">
      <c r="A15" s="623"/>
      <c r="B15" s="624"/>
      <c r="C15" s="624"/>
      <c r="D15" s="2381"/>
      <c r="E15" s="2377" t="s">
        <v>566</v>
      </c>
      <c r="F15" s="2378"/>
      <c r="G15" s="2379"/>
      <c r="H15" s="2383" t="str">
        <f>IF(A14="","",INDEX(DIFFERENTIATION_UNMERGE_AREA,MATCH(A14,DIFFERENTIATION_ID_DIFF,0)))</f>
        <v>без дифференциации</v>
      </c>
      <c r="I15" s="2383"/>
      <c r="J15" s="2383"/>
      <c r="K15" s="2383"/>
      <c r="L15" s="2383"/>
      <c r="M15" s="2383"/>
      <c r="N15" s="2383"/>
      <c r="O15" s="2383"/>
      <c r="P15" s="2383"/>
      <c r="Q15" s="2383"/>
      <c r="R15" s="2383"/>
      <c r="S15" s="719"/>
      <c r="T15" s="716"/>
      <c r="U15" s="625"/>
      <c r="V15" s="625"/>
      <c r="W15" s="626"/>
      <c r="X15" s="626"/>
      <c r="Y15" s="626"/>
      <c r="Z15" s="626"/>
      <c r="AA15" s="627"/>
      <c r="AB15" s="628"/>
      <c r="AC15" s="2375"/>
      <c r="AD15" s="629"/>
      <c r="AE15" s="630"/>
      <c r="AF15" s="630"/>
      <c r="AG15" s="631"/>
      <c r="AH15" s="632"/>
      <c r="AI15" s="625"/>
      <c r="AJ15" s="625"/>
      <c r="AK15" s="625"/>
      <c r="AL15" s="625"/>
      <c r="AM15" s="625"/>
      <c r="AN15" s="625"/>
      <c r="AO15" s="625"/>
      <c r="AP15" s="625"/>
      <c r="AQ15" s="625"/>
      <c r="AR15" s="625"/>
      <c r="AS15" s="625"/>
      <c r="AT15" s="625"/>
      <c r="AU15" s="625"/>
      <c r="AV15" s="625"/>
      <c r="AW15" s="625"/>
      <c r="AX15" s="625"/>
      <c r="AY15" s="625"/>
      <c r="AZ15" s="625"/>
      <c r="BA15" s="625"/>
      <c r="BB15" s="625"/>
      <c r="BC15" s="625"/>
      <c r="BD15" s="625"/>
      <c r="BE15" s="625"/>
      <c r="BF15" s="625"/>
      <c r="BG15" s="625"/>
      <c r="BH15" s="625"/>
      <c r="BI15" s="625"/>
      <c r="BJ15" s="625"/>
      <c r="BK15" s="625"/>
      <c r="BL15" s="625"/>
      <c r="BM15" s="625"/>
      <c r="BN15" s="625"/>
      <c r="BO15" s="625"/>
      <c r="BP15" s="625"/>
      <c r="BQ15" s="625"/>
      <c r="BR15" s="625"/>
      <c r="BS15" s="625"/>
      <c r="BT15" s="625"/>
      <c r="BU15" s="625"/>
      <c r="BV15" s="626"/>
      <c r="BW15" s="626"/>
      <c r="BX15" s="626"/>
      <c r="BY15" s="626"/>
      <c r="BZ15" s="626"/>
      <c r="CA15" s="626"/>
      <c r="CB15" s="626"/>
      <c r="CC15" s="626"/>
      <c r="CD15" s="626"/>
      <c r="CE15" s="626"/>
      <c r="CF15" s="293">
        <v>0</v>
      </c>
    </row>
    <row s="1850" customFormat="1" customHeight="1" ht="15" hidden="1">
      <c r="A16" s="623"/>
      <c r="B16" s="624"/>
      <c r="C16" s="624"/>
      <c r="D16" s="2381"/>
      <c r="E16" s="2377" t="s">
        <v>567</v>
      </c>
      <c r="F16" s="2378"/>
      <c r="G16" s="2379"/>
      <c r="H16" s="2383" t="str">
        <f>IF(A14="","",INDEX(DIFFERENTIATION_UNMERGE_SYSTEM,MATCH(A14,DIFFERENTIATION_ID_DIFF,0)))</f>
        <v>без дифференциации</v>
      </c>
      <c r="I16" s="2383"/>
      <c r="J16" s="2383"/>
      <c r="K16" s="2383"/>
      <c r="L16" s="2383"/>
      <c r="M16" s="2383"/>
      <c r="N16" s="2383"/>
      <c r="O16" s="2383"/>
      <c r="P16" s="2383"/>
      <c r="Q16" s="2383"/>
      <c r="R16" s="2383"/>
      <c r="S16" s="719"/>
      <c r="T16" s="716"/>
      <c r="U16" s="625"/>
      <c r="V16" s="625"/>
      <c r="W16" s="626"/>
      <c r="X16" s="626"/>
      <c r="Y16" s="626"/>
      <c r="Z16" s="626"/>
      <c r="AA16" s="627"/>
      <c r="AB16" s="628"/>
      <c r="AC16" s="2375"/>
      <c r="AD16" s="629"/>
      <c r="AE16" s="630"/>
      <c r="AF16" s="630"/>
      <c r="AG16" s="631"/>
      <c r="AH16" s="632"/>
      <c r="AI16" s="625"/>
      <c r="AJ16" s="625"/>
      <c r="AK16" s="625"/>
      <c r="AL16" s="625"/>
      <c r="AM16" s="625"/>
      <c r="AN16" s="625"/>
      <c r="AO16" s="625"/>
      <c r="AP16" s="625"/>
      <c r="AQ16" s="625"/>
      <c r="AR16" s="625"/>
      <c r="AS16" s="625"/>
      <c r="AT16" s="625"/>
      <c r="AU16" s="625"/>
      <c r="AV16" s="625"/>
      <c r="AW16" s="625"/>
      <c r="AX16" s="625"/>
      <c r="AY16" s="625"/>
      <c r="AZ16" s="625"/>
      <c r="BA16" s="625"/>
      <c r="BB16" s="625"/>
      <c r="BC16" s="625"/>
      <c r="BD16" s="625"/>
      <c r="BE16" s="625"/>
      <c r="BF16" s="625"/>
      <c r="BG16" s="625"/>
      <c r="BH16" s="625"/>
      <c r="BI16" s="625"/>
      <c r="BJ16" s="625"/>
      <c r="BK16" s="625"/>
      <c r="BL16" s="625"/>
      <c r="BM16" s="625"/>
      <c r="BN16" s="625"/>
      <c r="BO16" s="625"/>
      <c r="BP16" s="625"/>
      <c r="BQ16" s="625"/>
      <c r="BR16" s="625"/>
      <c r="BS16" s="625"/>
      <c r="BT16" s="625"/>
      <c r="BU16" s="625"/>
      <c r="BV16" s="626"/>
      <c r="BW16" s="626"/>
      <c r="BX16" s="626"/>
      <c r="BY16" s="626"/>
      <c r="BZ16" s="626"/>
      <c r="CA16" s="626"/>
      <c r="CB16" s="626"/>
      <c r="CC16" s="626"/>
      <c r="CD16" s="626"/>
      <c r="CE16" s="626"/>
      <c r="CF16" s="293">
        <v>0</v>
      </c>
    </row>
    <row s="1850" customFormat="1" customHeight="1" ht="22.5" hidden="1">
      <c r="A17" s="633"/>
      <c r="B17" s="417"/>
      <c r="C17" s="412"/>
      <c r="D17" s="2381"/>
      <c r="E17" s="2376" t="s">
        <v>612</v>
      </c>
      <c r="F17" s="2376"/>
      <c r="G17" s="2376"/>
      <c r="H17" s="2376"/>
      <c r="I17" s="2376"/>
      <c r="J17" s="2376"/>
      <c r="K17" s="2376"/>
      <c r="L17" s="2376"/>
      <c r="M17" s="2376"/>
      <c r="N17" s="2376"/>
      <c r="O17" s="2376"/>
      <c r="P17" s="2376"/>
      <c r="Q17" s="558">
        <f>SUMIF(T18:T19,"i",Q18:Q19)</f>
        <v>0</v>
      </c>
      <c r="R17" s="1017"/>
      <c r="S17" s="897" t="s">
        <v>613</v>
      </c>
      <c r="T17" s="717" t="s">
        <v>614</v>
      </c>
      <c r="U17" s="2374">
        <v>1</v>
      </c>
      <c r="V17" s="2374" t="str">
        <f>INDEX(B_FHD_FLAG_INDEX_1,1,MATCH(A14,B_FHD_FLAG_DIFFERENTIATION,0))</f>
        <v>отсутствует</v>
      </c>
      <c r="W17" s="417"/>
      <c r="X17" s="417"/>
      <c r="Y17" s="417"/>
      <c r="Z17" s="417"/>
      <c r="AA17" s="511"/>
      <c r="AB17" s="417"/>
      <c r="AC17" s="2375"/>
      <c r="AD17" s="629"/>
      <c r="AE17" s="417"/>
      <c r="AF17" s="417"/>
      <c r="AG17" s="511"/>
      <c r="AH17" s="511"/>
      <c r="AI17" s="511"/>
      <c r="AJ17" s="511"/>
      <c r="AK17" s="511"/>
      <c r="AL17" s="511"/>
      <c r="AM17" s="511"/>
      <c r="AN17" s="511"/>
      <c r="AO17" s="511"/>
      <c r="AP17" s="511"/>
      <c r="AQ17" s="511"/>
      <c r="AR17" s="511"/>
      <c r="AS17" s="511"/>
      <c r="AT17" s="511"/>
      <c r="AU17" s="511"/>
      <c r="AV17" s="511"/>
      <c r="AW17" s="511"/>
      <c r="AX17" s="511"/>
      <c r="AY17" s="511"/>
      <c r="AZ17" s="511"/>
      <c r="BA17" s="511"/>
      <c r="BB17" s="511"/>
      <c r="BC17" s="511"/>
      <c r="BD17" s="511"/>
      <c r="BE17" s="511"/>
      <c r="BF17" s="511"/>
      <c r="BG17" s="511"/>
      <c r="BH17" s="511"/>
      <c r="BI17" s="511"/>
      <c r="BJ17" s="511"/>
      <c r="BK17" s="511"/>
      <c r="BL17" s="511"/>
      <c r="BM17" s="511"/>
      <c r="BN17" s="511"/>
      <c r="BO17" s="511"/>
      <c r="BP17" s="511"/>
      <c r="BQ17" s="511"/>
      <c r="BR17" s="511"/>
      <c r="BS17" s="511"/>
      <c r="BT17" s="511"/>
      <c r="BU17" s="511"/>
      <c r="BV17" s="417"/>
      <c r="BW17" s="417"/>
      <c r="BX17" s="417"/>
      <c r="BY17" s="417"/>
      <c r="BZ17" s="417"/>
      <c r="CA17" s="417"/>
      <c r="CB17" s="417"/>
      <c r="CC17" s="417"/>
      <c r="CD17" s="417"/>
      <c r="CE17" s="417"/>
      <c r="CF17" s="293">
        <v>0</v>
      </c>
    </row>
    <row s="1850" customFormat="1" customHeight="1" ht="11.25" hidden="1">
      <c r="A18" s="634"/>
      <c r="B18" s="511"/>
      <c r="C18" s="511"/>
      <c r="D18" s="2381"/>
      <c r="E18" s="635"/>
      <c r="F18" s="635">
        <v>0</v>
      </c>
      <c r="G18" s="635"/>
      <c r="H18" s="635"/>
      <c r="I18" s="635"/>
      <c r="J18" s="635"/>
      <c r="K18" s="635"/>
      <c r="L18" s="635"/>
      <c r="M18" s="635"/>
      <c r="N18" s="635"/>
      <c r="O18" s="635"/>
      <c r="P18" s="635"/>
      <c r="Q18" s="635"/>
      <c r="R18" s="635"/>
      <c r="S18" s="636"/>
      <c r="T18" s="718"/>
      <c r="U18" s="2374"/>
      <c r="V18" s="2374"/>
      <c r="W18" s="511"/>
      <c r="X18" s="511"/>
      <c r="Y18" s="511"/>
      <c r="Z18" s="511"/>
      <c r="AA18" s="511"/>
      <c r="AB18" s="417"/>
      <c r="AC18" s="2375"/>
      <c r="AD18" s="629"/>
      <c r="AE18" s="417"/>
      <c r="AF18" s="417"/>
      <c r="AG18" s="511"/>
      <c r="AH18" s="511"/>
      <c r="AI18" s="511"/>
      <c r="AJ18" s="511"/>
      <c r="AK18" s="511"/>
      <c r="AL18" s="511"/>
      <c r="AM18" s="511"/>
      <c r="AN18" s="511"/>
      <c r="AO18" s="511"/>
      <c r="AP18" s="511"/>
      <c r="AQ18" s="511"/>
      <c r="AR18" s="511"/>
      <c r="AS18" s="511"/>
      <c r="AT18" s="511"/>
      <c r="AU18" s="511"/>
      <c r="AV18" s="511"/>
      <c r="AW18" s="511"/>
      <c r="AX18" s="511"/>
      <c r="AY18" s="511"/>
      <c r="AZ18" s="511"/>
      <c r="BA18" s="511"/>
      <c r="BB18" s="511"/>
      <c r="BC18" s="511"/>
      <c r="BD18" s="511"/>
      <c r="BE18" s="511"/>
      <c r="BF18" s="511"/>
      <c r="BG18" s="511"/>
      <c r="BH18" s="511"/>
      <c r="BI18" s="511"/>
      <c r="BJ18" s="511"/>
      <c r="BK18" s="511"/>
      <c r="BL18" s="511"/>
      <c r="BM18" s="511"/>
      <c r="BN18" s="511"/>
      <c r="BO18" s="511"/>
      <c r="BP18" s="511"/>
      <c r="BQ18" s="511"/>
      <c r="BR18" s="511"/>
      <c r="BS18" s="511"/>
      <c r="BT18" s="511"/>
      <c r="BU18" s="511"/>
      <c r="BV18" s="511"/>
      <c r="BW18" s="511"/>
      <c r="BX18" s="511"/>
      <c r="BY18" s="511"/>
      <c r="BZ18" s="511"/>
      <c r="CA18" s="511"/>
      <c r="CB18" s="511"/>
      <c r="CC18" s="511"/>
      <c r="CD18" s="511"/>
      <c r="CE18" s="511"/>
      <c r="CF18" s="293">
        <v>0</v>
      </c>
    </row>
    <row s="1850" customFormat="1" customHeight="1" ht="11.25" hidden="1">
      <c r="A19" s="633"/>
      <c r="B19" s="417"/>
      <c r="C19" s="412"/>
      <c r="D19" s="2381"/>
      <c r="E19" s="649" t="s">
        <v>22</v>
      </c>
      <c r="F19" s="650" t="s">
        <v>22</v>
      </c>
      <c r="G19" s="650" t="s">
        <v>22</v>
      </c>
      <c r="H19" s="651" t="s">
        <v>22</v>
      </c>
      <c r="I19" s="651"/>
      <c r="J19" s="651"/>
      <c r="K19" s="651"/>
      <c r="L19" s="651"/>
      <c r="M19" s="651"/>
      <c r="N19" s="651"/>
      <c r="O19" s="651"/>
      <c r="P19" s="651"/>
      <c r="Q19" s="651"/>
      <c r="R19" s="652"/>
      <c r="S19" s="1020"/>
      <c r="T19" s="718"/>
      <c r="U19" s="2374"/>
      <c r="V19" s="2374"/>
      <c r="W19" s="417"/>
      <c r="X19" s="417"/>
      <c r="Y19" s="417"/>
      <c r="Z19" s="417"/>
      <c r="AA19" s="511"/>
      <c r="AB19" s="417"/>
      <c r="AC19" s="2375"/>
      <c r="AD19" s="629"/>
      <c r="AE19" s="417"/>
      <c r="AF19" s="417"/>
      <c r="AG19" s="511"/>
      <c r="AH19" s="511"/>
      <c r="AI19" s="511"/>
      <c r="AJ19" s="511"/>
      <c r="AK19" s="511"/>
      <c r="AL19" s="511"/>
      <c r="AM19" s="511"/>
      <c r="AN19" s="511"/>
      <c r="AO19" s="511"/>
      <c r="AP19" s="511"/>
      <c r="AQ19" s="511"/>
      <c r="AR19" s="511"/>
      <c r="AS19" s="511"/>
      <c r="AT19" s="511"/>
      <c r="AU19" s="511"/>
      <c r="AV19" s="511"/>
      <c r="AW19" s="511"/>
      <c r="AX19" s="511"/>
      <c r="AY19" s="511"/>
      <c r="AZ19" s="511"/>
      <c r="BA19" s="511"/>
      <c r="BB19" s="511"/>
      <c r="BC19" s="511"/>
      <c r="BD19" s="511"/>
      <c r="BE19" s="511"/>
      <c r="BF19" s="511"/>
      <c r="BG19" s="511"/>
      <c r="BH19" s="511"/>
      <c r="BI19" s="511"/>
      <c r="BJ19" s="511"/>
      <c r="BK19" s="511"/>
      <c r="BL19" s="511"/>
      <c r="BM19" s="511"/>
      <c r="BN19" s="511"/>
      <c r="BO19" s="511"/>
      <c r="BP19" s="511"/>
      <c r="BQ19" s="511"/>
      <c r="BR19" s="511"/>
      <c r="BS19" s="511"/>
      <c r="BT19" s="511"/>
      <c r="BU19" s="511"/>
      <c r="BV19" s="417"/>
      <c r="BW19" s="417"/>
      <c r="BX19" s="417"/>
      <c r="BY19" s="417"/>
      <c r="BZ19" s="417"/>
      <c r="CA19" s="417"/>
      <c r="CB19" s="417"/>
      <c r="CC19" s="417"/>
      <c r="CD19" s="417"/>
      <c r="CE19" s="417"/>
      <c r="CF19" s="293">
        <v>0</v>
      </c>
    </row>
    <row s="1850" customFormat="1" customHeight="1" ht="22.5" hidden="1">
      <c r="A20" s="633"/>
      <c r="B20" s="417"/>
      <c r="C20" s="412"/>
      <c r="D20" s="2381"/>
      <c r="E20" s="2376" t="s">
        <v>615</v>
      </c>
      <c r="F20" s="2376"/>
      <c r="G20" s="2376"/>
      <c r="H20" s="2376"/>
      <c r="I20" s="2376"/>
      <c r="J20" s="2376"/>
      <c r="K20" s="2376"/>
      <c r="L20" s="2376"/>
      <c r="M20" s="2376"/>
      <c r="N20" s="2376"/>
      <c r="O20" s="2376"/>
      <c r="P20" s="2376"/>
      <c r="Q20" s="558">
        <f>SUMIF(T21:T22,"i",Q21:Q22)</f>
        <v>0</v>
      </c>
      <c r="R20" s="1017"/>
      <c r="S20" s="709" t="s">
        <v>616</v>
      </c>
      <c r="T20" s="717" t="s">
        <v>614</v>
      </c>
      <c r="U20" s="2374">
        <v>2</v>
      </c>
      <c r="V20" s="2374" t="str">
        <f>INDEX(B_FHD_FLAG_INDEX_2,1,MATCH(A14,B_FHD_FLAG_DIFFERENTIATION,0))</f>
        <v>отсутствует</v>
      </c>
      <c r="W20" s="417"/>
      <c r="X20" s="417"/>
      <c r="Y20" s="417"/>
      <c r="Z20" s="417"/>
      <c r="AA20" s="511"/>
      <c r="AB20" s="417"/>
      <c r="AC20" s="706"/>
      <c r="AD20" s="629"/>
      <c r="AE20" s="417"/>
      <c r="AF20" s="417"/>
      <c r="AG20" s="511"/>
      <c r="AH20" s="511"/>
      <c r="AI20" s="511"/>
      <c r="AJ20" s="511"/>
      <c r="AK20" s="511"/>
      <c r="AL20" s="511"/>
      <c r="AM20" s="511"/>
      <c r="AN20" s="511"/>
      <c r="AO20" s="511"/>
      <c r="AP20" s="511"/>
      <c r="AQ20" s="511"/>
      <c r="AR20" s="511"/>
      <c r="AS20" s="511"/>
      <c r="AT20" s="511"/>
      <c r="AU20" s="511"/>
      <c r="AV20" s="511"/>
      <c r="AW20" s="511"/>
      <c r="AX20" s="511"/>
      <c r="AY20" s="511"/>
      <c r="AZ20" s="511"/>
      <c r="BA20" s="511"/>
      <c r="BB20" s="511"/>
      <c r="BC20" s="511"/>
      <c r="BD20" s="511"/>
      <c r="BE20" s="511"/>
      <c r="BF20" s="511"/>
      <c r="BG20" s="511"/>
      <c r="BH20" s="511"/>
      <c r="BI20" s="511"/>
      <c r="BJ20" s="511"/>
      <c r="BK20" s="511"/>
      <c r="BL20" s="511"/>
      <c r="BM20" s="511"/>
      <c r="BN20" s="511"/>
      <c r="BO20" s="511"/>
      <c r="BP20" s="511"/>
      <c r="BQ20" s="511"/>
      <c r="BR20" s="511"/>
      <c r="BS20" s="511"/>
      <c r="BT20" s="511"/>
      <c r="BU20" s="511"/>
      <c r="BV20" s="417"/>
      <c r="BW20" s="417"/>
      <c r="BX20" s="417"/>
      <c r="BY20" s="417"/>
      <c r="BZ20" s="417"/>
      <c r="CA20" s="417"/>
      <c r="CB20" s="417"/>
      <c r="CC20" s="417"/>
      <c r="CD20" s="417"/>
      <c r="CE20" s="417"/>
      <c r="CF20" s="293">
        <v>0</v>
      </c>
    </row>
    <row s="1850" customFormat="1" customHeight="1" ht="11.25" hidden="1">
      <c r="A21" s="708"/>
      <c r="B21" s="511"/>
      <c r="C21" s="511"/>
      <c r="D21" s="2381"/>
      <c r="E21" s="635"/>
      <c r="F21" s="635">
        <v>0</v>
      </c>
      <c r="G21" s="635"/>
      <c r="H21" s="635"/>
      <c r="I21" s="635"/>
      <c r="J21" s="635"/>
      <c r="K21" s="635"/>
      <c r="L21" s="635"/>
      <c r="M21" s="635"/>
      <c r="N21" s="635"/>
      <c r="O21" s="635"/>
      <c r="P21" s="635"/>
      <c r="Q21" s="635"/>
      <c r="R21" s="635"/>
      <c r="S21" s="636"/>
      <c r="T21" s="718"/>
      <c r="U21" s="2374"/>
      <c r="V21" s="2374"/>
      <c r="W21" s="511"/>
      <c r="X21" s="511"/>
      <c r="Y21" s="511"/>
      <c r="Z21" s="511"/>
      <c r="AA21" s="511"/>
      <c r="AB21" s="417"/>
      <c r="AC21" s="706"/>
      <c r="AD21" s="629"/>
      <c r="AE21" s="417"/>
      <c r="AF21" s="417"/>
      <c r="AG21" s="511"/>
      <c r="AH21" s="511"/>
      <c r="AI21" s="511"/>
      <c r="AJ21" s="511"/>
      <c r="AK21" s="511"/>
      <c r="AL21" s="511"/>
      <c r="AM21" s="511"/>
      <c r="AN21" s="511"/>
      <c r="AO21" s="511"/>
      <c r="AP21" s="511"/>
      <c r="AQ21" s="511"/>
      <c r="AR21" s="511"/>
      <c r="AS21" s="511"/>
      <c r="AT21" s="511"/>
      <c r="AU21" s="511"/>
      <c r="AV21" s="511"/>
      <c r="AW21" s="511"/>
      <c r="AX21" s="511"/>
      <c r="AY21" s="511"/>
      <c r="AZ21" s="511"/>
      <c r="BA21" s="511"/>
      <c r="BB21" s="511"/>
      <c r="BC21" s="511"/>
      <c r="BD21" s="511"/>
      <c r="BE21" s="511"/>
      <c r="BF21" s="511"/>
      <c r="BG21" s="511"/>
      <c r="BH21" s="511"/>
      <c r="BI21" s="511"/>
      <c r="BJ21" s="511"/>
      <c r="BK21" s="511"/>
      <c r="BL21" s="511"/>
      <c r="BM21" s="511"/>
      <c r="BN21" s="511"/>
      <c r="BO21" s="511"/>
      <c r="BP21" s="511"/>
      <c r="BQ21" s="511"/>
      <c r="BR21" s="511"/>
      <c r="BS21" s="511"/>
      <c r="BT21" s="511"/>
      <c r="BU21" s="511"/>
      <c r="BV21" s="511"/>
      <c r="BW21" s="511"/>
      <c r="BX21" s="511"/>
      <c r="BY21" s="511"/>
      <c r="BZ21" s="511"/>
      <c r="CA21" s="511"/>
      <c r="CB21" s="511"/>
      <c r="CC21" s="511"/>
      <c r="CD21" s="511"/>
      <c r="CE21" s="511"/>
      <c r="CF21" s="293">
        <v>0</v>
      </c>
    </row>
    <row s="1850" customFormat="1" customHeight="1" ht="11.25" hidden="1">
      <c r="A22" s="633"/>
      <c r="B22" s="417"/>
      <c r="C22" s="412"/>
      <c r="D22" s="2382"/>
      <c r="E22" s="649" t="s">
        <v>22</v>
      </c>
      <c r="F22" s="650" t="s">
        <v>22</v>
      </c>
      <c r="G22" s="650" t="s">
        <v>22</v>
      </c>
      <c r="H22" s="651" t="s">
        <v>22</v>
      </c>
      <c r="I22" s="651"/>
      <c r="J22" s="651"/>
      <c r="K22" s="651"/>
      <c r="L22" s="651"/>
      <c r="M22" s="651"/>
      <c r="N22" s="651"/>
      <c r="O22" s="651"/>
      <c r="P22" s="651"/>
      <c r="Q22" s="651"/>
      <c r="R22" s="652"/>
      <c r="S22" s="1020"/>
      <c r="T22" s="718"/>
      <c r="U22" s="2374"/>
      <c r="V22" s="2374"/>
      <c r="W22" s="417"/>
      <c r="X22" s="417"/>
      <c r="Y22" s="417"/>
      <c r="Z22" s="417"/>
      <c r="AA22" s="511"/>
      <c r="AB22" s="417"/>
      <c r="AC22" s="706"/>
      <c r="AD22" s="629"/>
      <c r="AE22" s="417"/>
      <c r="AF22" s="417"/>
      <c r="AG22" s="511"/>
      <c r="AH22" s="511"/>
      <c r="AI22" s="511"/>
      <c r="AJ22" s="511"/>
      <c r="AK22" s="511"/>
      <c r="AL22" s="511"/>
      <c r="AM22" s="511"/>
      <c r="AN22" s="511"/>
      <c r="AO22" s="511"/>
      <c r="AP22" s="511"/>
      <c r="AQ22" s="511"/>
      <c r="AR22" s="511"/>
      <c r="AS22" s="511"/>
      <c r="AT22" s="511"/>
      <c r="AU22" s="511"/>
      <c r="AV22" s="511"/>
      <c r="AW22" s="511"/>
      <c r="AX22" s="511"/>
      <c r="AY22" s="511"/>
      <c r="AZ22" s="511"/>
      <c r="BA22" s="511"/>
      <c r="BB22" s="511"/>
      <c r="BC22" s="511"/>
      <c r="BD22" s="511"/>
      <c r="BE22" s="511"/>
      <c r="BF22" s="511"/>
      <c r="BG22" s="511"/>
      <c r="BH22" s="511"/>
      <c r="BI22" s="511"/>
      <c r="BJ22" s="511"/>
      <c r="BK22" s="511"/>
      <c r="BL22" s="511"/>
      <c r="BM22" s="511"/>
      <c r="BN22" s="511"/>
      <c r="BO22" s="511"/>
      <c r="BP22" s="511"/>
      <c r="BQ22" s="511"/>
      <c r="BR22" s="511"/>
      <c r="BS22" s="511"/>
      <c r="BT22" s="511"/>
      <c r="BU22" s="511"/>
      <c r="BV22" s="417"/>
      <c r="BW22" s="417"/>
      <c r="BX22" s="417"/>
      <c r="BY22" s="417"/>
      <c r="BZ22" s="417"/>
      <c r="CA22" s="417"/>
      <c r="CB22" s="417"/>
      <c r="CC22" s="417"/>
      <c r="CD22" s="417"/>
      <c r="CE22" s="417"/>
      <c r="CF22" s="293">
        <v>0</v>
      </c>
    </row>
    <row customHeight="1" ht="15" hidden="1">
      <c r="A23" s="623" t="s">
        <v>123</v>
      </c>
      <c r="B23" s="624"/>
      <c r="C23" s="624" t="s">
        <v>22</v>
      </c>
      <c r="D23" s="2578" t="s">
        <v>154</v>
      </c>
      <c r="E23" s="2377" t="s">
        <v>105</v>
      </c>
      <c r="F23" s="2378"/>
      <c r="G23" s="2379"/>
      <c r="H23" s="2383" t="str">
        <f>IF(A23="","",INDEX(DIFFERENTIATION_UNMERGE_VD,MATCH(A23,DIFFERENTIATION_ID_DIFF,0)))</f>
        <v>Производство. Теплоноситель</v>
      </c>
      <c r="I23" s="2383"/>
      <c r="J23" s="2383"/>
      <c r="K23" s="2383"/>
      <c r="L23" s="2383"/>
      <c r="M23" s="2383"/>
      <c r="N23" s="2383"/>
      <c r="O23" s="2383"/>
      <c r="P23" s="2383"/>
      <c r="Q23" s="2383"/>
      <c r="R23" s="2383"/>
      <c r="S23" s="719"/>
      <c r="T23" s="716"/>
      <c r="U23" s="625"/>
      <c r="V23" s="625"/>
      <c r="W23" s="626"/>
      <c r="X23" s="626"/>
      <c r="Y23" s="626"/>
      <c r="Z23" s="626"/>
      <c r="AA23" s="627"/>
      <c r="AB23" s="628"/>
      <c r="AC23" s="2375"/>
      <c r="AD23" s="629"/>
      <c r="AE23" s="630" t="s">
        <v>22</v>
      </c>
      <c r="AF23" s="630"/>
      <c r="AG23" s="631" t="s">
        <v>611</v>
      </c>
      <c r="AH23" s="632">
        <v>3</v>
      </c>
      <c r="AI23" s="625"/>
      <c r="AJ23" s="625"/>
      <c r="AK23" s="625"/>
      <c r="AL23" s="625"/>
      <c r="AM23" s="625"/>
      <c r="AN23" s="625"/>
      <c r="AO23" s="625"/>
      <c r="AP23" s="625"/>
      <c r="AQ23" s="625"/>
      <c r="AR23" s="625"/>
      <c r="AS23" s="625"/>
      <c r="AT23" s="625"/>
      <c r="AU23" s="625"/>
      <c r="AV23" s="625"/>
      <c r="AW23" s="625"/>
      <c r="AX23" s="625"/>
      <c r="AY23" s="625"/>
      <c r="AZ23" s="625"/>
      <c r="BA23" s="625"/>
      <c r="BB23" s="625"/>
      <c r="BC23" s="625"/>
      <c r="BD23" s="625"/>
      <c r="BE23" s="625"/>
      <c r="BF23" s="625"/>
      <c r="BG23" s="625"/>
      <c r="BH23" s="625"/>
      <c r="BI23" s="625"/>
      <c r="BJ23" s="625"/>
      <c r="BK23" s="625"/>
      <c r="BL23" s="625"/>
      <c r="BM23" s="625"/>
      <c r="BN23" s="625"/>
      <c r="BO23" s="625"/>
      <c r="BP23" s="625"/>
      <c r="BQ23" s="625"/>
      <c r="BR23" s="625"/>
      <c r="BS23" s="625"/>
      <c r="BT23" s="625"/>
      <c r="BU23" s="625"/>
      <c r="BV23" s="626"/>
      <c r="BW23" s="626"/>
      <c r="BX23" s="626"/>
      <c r="BY23" s="626"/>
      <c r="BZ23" s="626"/>
      <c r="CA23" s="626"/>
      <c r="CB23" s="626"/>
      <c r="CC23" s="626"/>
      <c r="CD23" s="626"/>
      <c r="CE23" s="626"/>
      <c r="CF23" s="1850"/>
    </row>
    <row customHeight="1" ht="15" hidden="1">
      <c r="A24" s="623"/>
      <c r="B24" s="624"/>
      <c r="C24" s="624"/>
      <c r="D24" s="2579"/>
      <c r="E24" s="2377" t="s">
        <v>566</v>
      </c>
      <c r="F24" s="2378"/>
      <c r="G24" s="2379"/>
      <c r="H24" s="2383" t="str">
        <f>IF(A23="","",INDEX(DIFFERENTIATION_UNMERGE_AREA,MATCH(A23,DIFFERENTIATION_ID_DIFF,0)))</f>
        <v>без дифференциации</v>
      </c>
      <c r="I24" s="2383"/>
      <c r="J24" s="2383"/>
      <c r="K24" s="2383"/>
      <c r="L24" s="2383"/>
      <c r="M24" s="2383"/>
      <c r="N24" s="2383"/>
      <c r="O24" s="2383"/>
      <c r="P24" s="2383"/>
      <c r="Q24" s="2383"/>
      <c r="R24" s="2383"/>
      <c r="S24" s="719"/>
      <c r="T24" s="716"/>
      <c r="U24" s="625"/>
      <c r="V24" s="625"/>
      <c r="W24" s="626"/>
      <c r="X24" s="626"/>
      <c r="Y24" s="626"/>
      <c r="Z24" s="626"/>
      <c r="AA24" s="627"/>
      <c r="AB24" s="628"/>
      <c r="AC24" s="2375"/>
      <c r="AD24" s="629"/>
      <c r="AE24" s="630"/>
      <c r="AF24" s="630"/>
      <c r="AG24" s="631"/>
      <c r="AH24" s="632"/>
      <c r="AI24" s="625"/>
      <c r="AJ24" s="625"/>
      <c r="AK24" s="625"/>
      <c r="AL24" s="625"/>
      <c r="AM24" s="625"/>
      <c r="AN24" s="625"/>
      <c r="AO24" s="625"/>
      <c r="AP24" s="625"/>
      <c r="AQ24" s="625"/>
      <c r="AR24" s="625"/>
      <c r="AS24" s="625"/>
      <c r="AT24" s="625"/>
      <c r="AU24" s="625"/>
      <c r="AV24" s="625"/>
      <c r="AW24" s="625"/>
      <c r="AX24" s="625"/>
      <c r="AY24" s="625"/>
      <c r="AZ24" s="625"/>
      <c r="BA24" s="625"/>
      <c r="BB24" s="625"/>
      <c r="BC24" s="625"/>
      <c r="BD24" s="625"/>
      <c r="BE24" s="625"/>
      <c r="BF24" s="625"/>
      <c r="BG24" s="625"/>
      <c r="BH24" s="625"/>
      <c r="BI24" s="625"/>
      <c r="BJ24" s="625"/>
      <c r="BK24" s="625"/>
      <c r="BL24" s="625"/>
      <c r="BM24" s="625"/>
      <c r="BN24" s="625"/>
      <c r="BO24" s="625"/>
      <c r="BP24" s="625"/>
      <c r="BQ24" s="625"/>
      <c r="BR24" s="625"/>
      <c r="BS24" s="625"/>
      <c r="BT24" s="625"/>
      <c r="BU24" s="625"/>
      <c r="BV24" s="626"/>
      <c r="BW24" s="626"/>
      <c r="BX24" s="626"/>
      <c r="BY24" s="626"/>
      <c r="BZ24" s="626"/>
      <c r="CA24" s="626"/>
      <c r="CB24" s="626"/>
      <c r="CC24" s="626"/>
      <c r="CD24" s="626"/>
      <c r="CE24" s="626"/>
      <c r="CF24" s="1850"/>
    </row>
    <row customHeight="1" ht="15" hidden="1">
      <c r="A25" s="623"/>
      <c r="B25" s="624"/>
      <c r="C25" s="624"/>
      <c r="D25" s="2579"/>
      <c r="E25" s="2377" t="s">
        <v>567</v>
      </c>
      <c r="F25" s="2378"/>
      <c r="G25" s="2379"/>
      <c r="H25" s="2383" t="str">
        <f>IF(A23="","",INDEX(DIFFERENTIATION_UNMERGE_SYSTEM,MATCH(A23,DIFFERENTIATION_ID_DIFF,0)))</f>
        <v>без дифференциации</v>
      </c>
      <c r="I25" s="2383"/>
      <c r="J25" s="2383"/>
      <c r="K25" s="2383"/>
      <c r="L25" s="2383"/>
      <c r="M25" s="2383"/>
      <c r="N25" s="2383"/>
      <c r="O25" s="2383"/>
      <c r="P25" s="2383"/>
      <c r="Q25" s="2383"/>
      <c r="R25" s="2383"/>
      <c r="S25" s="719"/>
      <c r="T25" s="716"/>
      <c r="U25" s="625"/>
      <c r="V25" s="625"/>
      <c r="W25" s="626"/>
      <c r="X25" s="626"/>
      <c r="Y25" s="626"/>
      <c r="Z25" s="626"/>
      <c r="AA25" s="627"/>
      <c r="AB25" s="628"/>
      <c r="AC25" s="2375"/>
      <c r="AD25" s="629"/>
      <c r="AE25" s="630"/>
      <c r="AF25" s="630"/>
      <c r="AG25" s="631"/>
      <c r="AH25" s="632"/>
      <c r="AI25" s="625"/>
      <c r="AJ25" s="625"/>
      <c r="AK25" s="625"/>
      <c r="AL25" s="625"/>
      <c r="AM25" s="625"/>
      <c r="AN25" s="625"/>
      <c r="AO25" s="625"/>
      <c r="AP25" s="625"/>
      <c r="AQ25" s="625"/>
      <c r="AR25" s="625"/>
      <c r="AS25" s="625"/>
      <c r="AT25" s="625"/>
      <c r="AU25" s="625"/>
      <c r="AV25" s="625"/>
      <c r="AW25" s="625"/>
      <c r="AX25" s="625"/>
      <c r="AY25" s="625"/>
      <c r="AZ25" s="625"/>
      <c r="BA25" s="625"/>
      <c r="BB25" s="625"/>
      <c r="BC25" s="625"/>
      <c r="BD25" s="625"/>
      <c r="BE25" s="625"/>
      <c r="BF25" s="625"/>
      <c r="BG25" s="625"/>
      <c r="BH25" s="625"/>
      <c r="BI25" s="625"/>
      <c r="BJ25" s="625"/>
      <c r="BK25" s="625"/>
      <c r="BL25" s="625"/>
      <c r="BM25" s="625"/>
      <c r="BN25" s="625"/>
      <c r="BO25" s="625"/>
      <c r="BP25" s="625"/>
      <c r="BQ25" s="625"/>
      <c r="BR25" s="625"/>
      <c r="BS25" s="625"/>
      <c r="BT25" s="625"/>
      <c r="BU25" s="625"/>
      <c r="BV25" s="626"/>
      <c r="BW25" s="626"/>
      <c r="BX25" s="626"/>
      <c r="BY25" s="626"/>
      <c r="BZ25" s="626"/>
      <c r="CA25" s="626"/>
      <c r="CB25" s="626"/>
      <c r="CC25" s="626"/>
      <c r="CD25" s="626"/>
      <c r="CE25" s="626"/>
      <c r="CF25" s="1850"/>
    </row>
    <row customHeight="1" ht="24.75" hidden="1">
      <c r="A26" s="1806"/>
      <c r="B26" s="1160"/>
      <c r="C26" s="412"/>
      <c r="D26" s="2579"/>
      <c r="E26" s="2376" t="s">
        <v>612</v>
      </c>
      <c r="F26" s="2376"/>
      <c r="G26" s="2376"/>
      <c r="H26" s="2376"/>
      <c r="I26" s="2376"/>
      <c r="J26" s="2376"/>
      <c r="K26" s="2376"/>
      <c r="L26" s="2376"/>
      <c r="M26" s="2376"/>
      <c r="N26" s="2376"/>
      <c r="O26" s="2376"/>
      <c r="P26" s="2376"/>
      <c r="Q26" s="558">
        <f>SUMIF(T27:T28,"i",Q27:Q28)</f>
        <v>0</v>
      </c>
      <c r="R26" s="1017"/>
      <c r="S26" s="1798" t="s">
        <v>613</v>
      </c>
      <c r="T26" s="717" t="s">
        <v>614</v>
      </c>
      <c r="U26" s="2374">
        <v>1</v>
      </c>
      <c r="V26" s="2374" t="s">
        <v>577</v>
      </c>
      <c r="W26" s="1160"/>
      <c r="X26" s="1160"/>
      <c r="Y26" s="1160"/>
      <c r="Z26" s="1160"/>
      <c r="AA26" s="1636"/>
      <c r="AB26" s="1160"/>
      <c r="AC26" s="2375"/>
      <c r="AD26" s="629"/>
      <c r="AE26" s="1160"/>
      <c r="AF26" s="1160"/>
      <c r="AG26" s="1636"/>
      <c r="AH26" s="1636"/>
      <c r="AI26" s="1636"/>
      <c r="AJ26" s="1636"/>
      <c r="AK26" s="1636"/>
      <c r="AL26" s="1636"/>
      <c r="AM26" s="1636"/>
      <c r="AN26" s="1636"/>
      <c r="AO26" s="1636"/>
      <c r="AP26" s="1636"/>
      <c r="AQ26" s="1636"/>
      <c r="AR26" s="1636"/>
      <c r="AS26" s="1636"/>
      <c r="AT26" s="1636"/>
      <c r="AU26" s="1636"/>
      <c r="AV26" s="1636"/>
      <c r="AW26" s="1636"/>
      <c r="AX26" s="1636"/>
      <c r="AY26" s="1636"/>
      <c r="AZ26" s="1636"/>
      <c r="BA26" s="1636"/>
      <c r="BB26" s="1636"/>
      <c r="BC26" s="1636"/>
      <c r="BD26" s="1636"/>
      <c r="BE26" s="1636"/>
      <c r="BF26" s="1636"/>
      <c r="BG26" s="1636"/>
      <c r="BH26" s="1636"/>
      <c r="BI26" s="1636"/>
      <c r="BJ26" s="1636"/>
      <c r="BK26" s="1636"/>
      <c r="BL26" s="1636"/>
      <c r="BM26" s="1636"/>
      <c r="BN26" s="1636"/>
      <c r="BO26" s="1636"/>
      <c r="BP26" s="1636"/>
      <c r="BQ26" s="1636"/>
      <c r="BR26" s="1636"/>
      <c r="BS26" s="1636"/>
      <c r="BT26" s="1636"/>
      <c r="BU26" s="1636"/>
      <c r="BV26" s="1160"/>
      <c r="BW26" s="1160"/>
      <c r="BX26" s="1160"/>
      <c r="BY26" s="1160"/>
      <c r="BZ26" s="1160"/>
      <c r="CA26" s="1160"/>
      <c r="CB26" s="1160"/>
      <c r="CC26" s="1160"/>
      <c r="CD26" s="1160"/>
      <c r="CE26" s="1160"/>
      <c r="CF26" s="1850"/>
    </row>
    <row customHeight="1" ht="11.25" hidden="1">
      <c r="A27" s="1793"/>
      <c r="B27" s="1636"/>
      <c r="C27" s="1636"/>
      <c r="D27" s="2579"/>
      <c r="E27" s="635"/>
      <c r="F27" s="635">
        <v>0</v>
      </c>
      <c r="G27" s="635"/>
      <c r="H27" s="635"/>
      <c r="I27" s="635"/>
      <c r="J27" s="635"/>
      <c r="K27" s="635"/>
      <c r="L27" s="635"/>
      <c r="M27" s="635"/>
      <c r="N27" s="635"/>
      <c r="O27" s="635"/>
      <c r="P27" s="635"/>
      <c r="Q27" s="635"/>
      <c r="R27" s="635"/>
      <c r="S27" s="636"/>
      <c r="T27" s="718"/>
      <c r="U27" s="2374"/>
      <c r="V27" s="2374"/>
      <c r="W27" s="1636"/>
      <c r="X27" s="1636"/>
      <c r="Y27" s="1636"/>
      <c r="Z27" s="1636"/>
      <c r="AA27" s="1636"/>
      <c r="AB27" s="1160"/>
      <c r="AC27" s="2375"/>
      <c r="AD27" s="629"/>
      <c r="AE27" s="1160"/>
      <c r="AF27" s="1160"/>
      <c r="AG27" s="1636"/>
      <c r="AH27" s="1636"/>
      <c r="AI27" s="1636"/>
      <c r="AJ27" s="1636"/>
      <c r="AK27" s="1636"/>
      <c r="AL27" s="1636"/>
      <c r="AM27" s="1636"/>
      <c r="AN27" s="1636"/>
      <c r="AO27" s="1636"/>
      <c r="AP27" s="1636"/>
      <c r="AQ27" s="1636"/>
      <c r="AR27" s="1636"/>
      <c r="AS27" s="1636"/>
      <c r="AT27" s="1636"/>
      <c r="AU27" s="1636"/>
      <c r="AV27" s="1636"/>
      <c r="AW27" s="1636"/>
      <c r="AX27" s="1636"/>
      <c r="AY27" s="1636"/>
      <c r="AZ27" s="1636"/>
      <c r="BA27" s="1636"/>
      <c r="BB27" s="1636"/>
      <c r="BC27" s="1636"/>
      <c r="BD27" s="1636"/>
      <c r="BE27" s="1636"/>
      <c r="BF27" s="1636"/>
      <c r="BG27" s="1636"/>
      <c r="BH27" s="1636"/>
      <c r="BI27" s="1636"/>
      <c r="BJ27" s="1636"/>
      <c r="BK27" s="1636"/>
      <c r="BL27" s="1636"/>
      <c r="BM27" s="1636"/>
      <c r="BN27" s="1636"/>
      <c r="BO27" s="1636"/>
      <c r="BP27" s="1636"/>
      <c r="BQ27" s="1636"/>
      <c r="BR27" s="1636"/>
      <c r="BS27" s="1636"/>
      <c r="BT27" s="1636"/>
      <c r="BU27" s="1636"/>
      <c r="BV27" s="1636"/>
      <c r="BW27" s="1636"/>
      <c r="BX27" s="1636"/>
      <c r="BY27" s="1636"/>
      <c r="BZ27" s="1636"/>
      <c r="CA27" s="1636"/>
      <c r="CB27" s="1636"/>
      <c r="CC27" s="1636"/>
      <c r="CD27" s="1636"/>
      <c r="CE27" s="1636"/>
      <c r="CF27" s="1850"/>
    </row>
    <row customHeight="1" ht="11.25" hidden="1">
      <c r="A28" s="1806"/>
      <c r="B28" s="1160"/>
      <c r="C28" s="412"/>
      <c r="D28" s="2579"/>
      <c r="E28" s="649" t="s">
        <v>22</v>
      </c>
      <c r="F28" s="1168" t="s">
        <v>22</v>
      </c>
      <c r="G28" s="1168" t="s">
        <v>617</v>
      </c>
      <c r="H28" s="651" t="s">
        <v>22</v>
      </c>
      <c r="I28" s="651"/>
      <c r="J28" s="651"/>
      <c r="K28" s="651"/>
      <c r="L28" s="651"/>
      <c r="M28" s="651"/>
      <c r="N28" s="651"/>
      <c r="O28" s="651"/>
      <c r="P28" s="651"/>
      <c r="Q28" s="651"/>
      <c r="R28" s="652"/>
      <c r="S28" s="653"/>
      <c r="T28" s="718"/>
      <c r="U28" s="2374"/>
      <c r="V28" s="2374"/>
      <c r="W28" s="1160"/>
      <c r="X28" s="1160"/>
      <c r="Y28" s="1160"/>
      <c r="Z28" s="1160"/>
      <c r="AA28" s="1636"/>
      <c r="AB28" s="1160"/>
      <c r="AC28" s="2375"/>
      <c r="AD28" s="629"/>
      <c r="AE28" s="1160"/>
      <c r="AF28" s="1160"/>
      <c r="AG28" s="1636"/>
      <c r="AH28" s="1636"/>
      <c r="AI28" s="1636"/>
      <c r="AJ28" s="1636"/>
      <c r="AK28" s="1636"/>
      <c r="AL28" s="1636"/>
      <c r="AM28" s="1636"/>
      <c r="AN28" s="1636"/>
      <c r="AO28" s="1636"/>
      <c r="AP28" s="1636"/>
      <c r="AQ28" s="1636"/>
      <c r="AR28" s="1636"/>
      <c r="AS28" s="1636"/>
      <c r="AT28" s="1636"/>
      <c r="AU28" s="1636"/>
      <c r="AV28" s="1636"/>
      <c r="AW28" s="1636"/>
      <c r="AX28" s="1636"/>
      <c r="AY28" s="1636"/>
      <c r="AZ28" s="1636"/>
      <c r="BA28" s="1636"/>
      <c r="BB28" s="1636"/>
      <c r="BC28" s="1636"/>
      <c r="BD28" s="1636"/>
      <c r="BE28" s="1636"/>
      <c r="BF28" s="1636"/>
      <c r="BG28" s="1636"/>
      <c r="BH28" s="1636"/>
      <c r="BI28" s="1636"/>
      <c r="BJ28" s="1636"/>
      <c r="BK28" s="1636"/>
      <c r="BL28" s="1636"/>
      <c r="BM28" s="1636"/>
      <c r="BN28" s="1636"/>
      <c r="BO28" s="1636"/>
      <c r="BP28" s="1636"/>
      <c r="BQ28" s="1636"/>
      <c r="BR28" s="1636"/>
      <c r="BS28" s="1636"/>
      <c r="BT28" s="1636"/>
      <c r="BU28" s="1636"/>
      <c r="BV28" s="1160"/>
      <c r="BW28" s="1160"/>
      <c r="BX28" s="1160"/>
      <c r="BY28" s="1160"/>
      <c r="BZ28" s="1160"/>
      <c r="CA28" s="1160"/>
      <c r="CB28" s="1160"/>
      <c r="CC28" s="1160"/>
      <c r="CD28" s="1160"/>
      <c r="CE28" s="1160"/>
      <c r="CF28" s="1850"/>
    </row>
    <row customHeight="1" ht="5.25" hidden="1">
      <c r="A29" s="1793"/>
      <c r="B29" s="1636"/>
      <c r="C29" s="1636"/>
      <c r="D29" s="2579"/>
      <c r="E29" s="1039"/>
      <c r="F29" s="1039"/>
      <c r="G29" s="1039"/>
      <c r="H29" s="1039"/>
      <c r="I29" s="1039"/>
      <c r="J29" s="1039"/>
      <c r="K29" s="1039"/>
      <c r="L29" s="1039"/>
      <c r="M29" s="1039"/>
      <c r="N29" s="1039"/>
      <c r="O29" s="1039"/>
      <c r="P29" s="1039"/>
      <c r="Q29" s="1040"/>
      <c r="R29" s="1041"/>
      <c r="S29" s="1042"/>
      <c r="T29" s="717" t="s">
        <v>614</v>
      </c>
      <c r="U29" s="2374">
        <v>1</v>
      </c>
      <c r="V29" s="2374" t="s">
        <v>577</v>
      </c>
      <c r="W29" s="1636"/>
      <c r="X29" s="1636"/>
      <c r="Y29" s="1636"/>
      <c r="Z29" s="1636"/>
      <c r="AA29" s="1636"/>
      <c r="AB29" s="1636"/>
      <c r="AC29" s="1037"/>
      <c r="AD29" s="1038"/>
      <c r="AE29" s="1636"/>
      <c r="AF29" s="1636"/>
      <c r="AG29" s="1636"/>
      <c r="AH29" s="1636"/>
      <c r="AI29" s="1636"/>
      <c r="AJ29" s="1636"/>
      <c r="AK29" s="1636"/>
      <c r="AL29" s="1636"/>
      <c r="AM29" s="1636"/>
      <c r="AN29" s="1636"/>
      <c r="AO29" s="1636"/>
      <c r="AP29" s="1636"/>
      <c r="AQ29" s="1636"/>
      <c r="AR29" s="1636"/>
      <c r="AS29" s="1636"/>
      <c r="AT29" s="1636"/>
      <c r="AU29" s="1636"/>
      <c r="AV29" s="1636"/>
      <c r="AW29" s="1636"/>
      <c r="AX29" s="1636"/>
      <c r="AY29" s="1636"/>
      <c r="AZ29" s="1636"/>
      <c r="BA29" s="1636"/>
      <c r="BB29" s="1636"/>
      <c r="BC29" s="1636"/>
      <c r="BD29" s="1636"/>
      <c r="BE29" s="1636"/>
      <c r="BF29" s="1636"/>
      <c r="BG29" s="1636"/>
      <c r="BH29" s="1636"/>
      <c r="BI29" s="1636"/>
      <c r="BJ29" s="1636"/>
      <c r="BK29" s="1636"/>
      <c r="BL29" s="1636"/>
      <c r="BM29" s="1636"/>
      <c r="BN29" s="1636"/>
      <c r="BO29" s="1636"/>
      <c r="BP29" s="1636"/>
      <c r="BQ29" s="1636"/>
      <c r="BR29" s="1636"/>
      <c r="BS29" s="1636"/>
      <c r="BT29" s="1636"/>
      <c r="BU29" s="1636"/>
      <c r="BV29" s="1636"/>
      <c r="BW29" s="1636"/>
      <c r="BX29" s="1636"/>
      <c r="BY29" s="1636"/>
      <c r="BZ29" s="1636"/>
      <c r="CA29" s="1636"/>
      <c r="CB29" s="1636"/>
      <c r="CC29" s="1636"/>
      <c r="CD29" s="1636"/>
      <c r="CE29" s="1636"/>
      <c r="CF29" s="1316"/>
    </row>
    <row customHeight="1" ht="5.25" hidden="1">
      <c r="A30" s="1793"/>
      <c r="B30" s="1636"/>
      <c r="C30" s="1636"/>
      <c r="D30" s="2579"/>
      <c r="E30" s="635"/>
      <c r="F30" s="635"/>
      <c r="G30" s="635"/>
      <c r="H30" s="635"/>
      <c r="I30" s="635"/>
      <c r="J30" s="635"/>
      <c r="K30" s="635"/>
      <c r="L30" s="635"/>
      <c r="M30" s="635"/>
      <c r="N30" s="635"/>
      <c r="O30" s="635"/>
      <c r="P30" s="635"/>
      <c r="Q30" s="635"/>
      <c r="R30" s="635"/>
      <c r="S30" s="636"/>
      <c r="T30" s="718"/>
      <c r="U30" s="2374"/>
      <c r="V30" s="2374"/>
      <c r="W30" s="1636"/>
      <c r="X30" s="1636"/>
      <c r="Y30" s="1636"/>
      <c r="Z30" s="1636"/>
      <c r="AA30" s="1636"/>
      <c r="AB30" s="1636"/>
      <c r="AC30" s="1037"/>
      <c r="AD30" s="1038"/>
      <c r="AE30" s="1636"/>
      <c r="AF30" s="1636"/>
      <c r="AG30" s="1636"/>
      <c r="AH30" s="1636"/>
      <c r="AI30" s="1636"/>
      <c r="AJ30" s="1636"/>
      <c r="AK30" s="1636"/>
      <c r="AL30" s="1636"/>
      <c r="AM30" s="1636"/>
      <c r="AN30" s="1636"/>
      <c r="AO30" s="1636"/>
      <c r="AP30" s="1636"/>
      <c r="AQ30" s="1636"/>
      <c r="AR30" s="1636"/>
      <c r="AS30" s="1636"/>
      <c r="AT30" s="1636"/>
      <c r="AU30" s="1636"/>
      <c r="AV30" s="1636"/>
      <c r="AW30" s="1636"/>
      <c r="AX30" s="1636"/>
      <c r="AY30" s="1636"/>
      <c r="AZ30" s="1636"/>
      <c r="BA30" s="1636"/>
      <c r="BB30" s="1636"/>
      <c r="BC30" s="1636"/>
      <c r="BD30" s="1636"/>
      <c r="BE30" s="1636"/>
      <c r="BF30" s="1636"/>
      <c r="BG30" s="1636"/>
      <c r="BH30" s="1636"/>
      <c r="BI30" s="1636"/>
      <c r="BJ30" s="1636"/>
      <c r="BK30" s="1636"/>
      <c r="BL30" s="1636"/>
      <c r="BM30" s="1636"/>
      <c r="BN30" s="1636"/>
      <c r="BO30" s="1636"/>
      <c r="BP30" s="1636"/>
      <c r="BQ30" s="1636"/>
      <c r="BR30" s="1636"/>
      <c r="BS30" s="1636"/>
      <c r="BT30" s="1636"/>
      <c r="BU30" s="1636"/>
      <c r="BV30" s="1636"/>
      <c r="BW30" s="1636"/>
      <c r="BX30" s="1636"/>
      <c r="BY30" s="1636"/>
      <c r="BZ30" s="1636"/>
      <c r="CA30" s="1636"/>
      <c r="CB30" s="1636"/>
      <c r="CC30" s="1636"/>
      <c r="CD30" s="1636"/>
      <c r="CE30" s="1636"/>
      <c r="CF30" s="1316"/>
    </row>
    <row customHeight="1" ht="5.25" hidden="1">
      <c r="A31" s="1793"/>
      <c r="B31" s="1636"/>
      <c r="C31" s="1636"/>
      <c r="D31" s="2580"/>
      <c r="E31" s="1043"/>
      <c r="F31" s="1044"/>
      <c r="G31" s="1044"/>
      <c r="H31" s="1045"/>
      <c r="I31" s="1045"/>
      <c r="J31" s="1045"/>
      <c r="K31" s="1045"/>
      <c r="L31" s="1045"/>
      <c r="M31" s="1045"/>
      <c r="N31" s="1045"/>
      <c r="O31" s="1045"/>
      <c r="P31" s="1045"/>
      <c r="Q31" s="1045"/>
      <c r="R31" s="946"/>
      <c r="S31" s="1046"/>
      <c r="T31" s="718"/>
      <c r="U31" s="2374"/>
      <c r="V31" s="2374"/>
      <c r="W31" s="1636"/>
      <c r="X31" s="1636"/>
      <c r="Y31" s="1636"/>
      <c r="Z31" s="1636"/>
      <c r="AA31" s="1636"/>
      <c r="AB31" s="1636"/>
      <c r="AC31" s="1037"/>
      <c r="AD31" s="1038"/>
      <c r="AE31" s="1636"/>
      <c r="AF31" s="1636"/>
      <c r="AG31" s="1636"/>
      <c r="AH31" s="1636"/>
      <c r="AI31" s="1636"/>
      <c r="AJ31" s="1636"/>
      <c r="AK31" s="1636"/>
      <c r="AL31" s="1636"/>
      <c r="AM31" s="1636"/>
      <c r="AN31" s="1636"/>
      <c r="AO31" s="1636"/>
      <c r="AP31" s="1636"/>
      <c r="AQ31" s="1636"/>
      <c r="AR31" s="1636"/>
      <c r="AS31" s="1636"/>
      <c r="AT31" s="1636"/>
      <c r="AU31" s="1636"/>
      <c r="AV31" s="1636"/>
      <c r="AW31" s="1636"/>
      <c r="AX31" s="1636"/>
      <c r="AY31" s="1636"/>
      <c r="AZ31" s="1636"/>
      <c r="BA31" s="1636"/>
      <c r="BB31" s="1636"/>
      <c r="BC31" s="1636"/>
      <c r="BD31" s="1636"/>
      <c r="BE31" s="1636"/>
      <c r="BF31" s="1636"/>
      <c r="BG31" s="1636"/>
      <c r="BH31" s="1636"/>
      <c r="BI31" s="1636"/>
      <c r="BJ31" s="1636"/>
      <c r="BK31" s="1636"/>
      <c r="BL31" s="1636"/>
      <c r="BM31" s="1636"/>
      <c r="BN31" s="1636"/>
      <c r="BO31" s="1636"/>
      <c r="BP31" s="1636"/>
      <c r="BQ31" s="1636"/>
      <c r="BR31" s="1636"/>
      <c r="BS31" s="1636"/>
      <c r="BT31" s="1636"/>
      <c r="BU31" s="1636"/>
      <c r="BV31" s="1636"/>
      <c r="BW31" s="1636"/>
      <c r="BX31" s="1636"/>
      <c r="BY31" s="1636"/>
      <c r="BZ31" s="1636"/>
      <c r="CA31" s="1636"/>
      <c r="CB31" s="1636"/>
      <c r="CC31" s="1636"/>
      <c r="CD31" s="1636"/>
      <c r="CE31" s="1636"/>
      <c r="CF31" s="1316"/>
    </row>
    <row customHeight="1" ht="19.95">
      <c r="D32" s="1047"/>
      <c r="E32" s="1047"/>
      <c r="F32" s="1047"/>
      <c r="G32" s="1047"/>
      <c r="H32" s="1047"/>
      <c r="I32" s="1047"/>
      <c r="J32" s="1047"/>
      <c r="K32" s="1047"/>
      <c r="L32" s="1047"/>
      <c r="M32" s="1047"/>
      <c r="N32" s="1047"/>
      <c r="O32" s="1047"/>
      <c r="P32" s="1047"/>
      <c r="Q32" s="1047"/>
      <c r="R32" s="1047"/>
      <c r="S32" s="1047"/>
      <c r="T32" s="334"/>
      <c r="CF32" s="505">
        <v>19</v>
      </c>
    </row>
    <row customHeight="1" ht="11.549999999999999">
      <c r="D33" s="509"/>
      <c r="CF33" s="505">
        <v>11</v>
      </c>
    </row>
    <row customHeight="1" ht="11.549999999999999">
      <c r="D34" s="654"/>
      <c r="E34" s="654"/>
      <c r="F34" s="654"/>
      <c r="G34" s="655"/>
      <c r="CF34" s="505">
        <v>11</v>
      </c>
    </row>
    <row customHeight="1" ht="11.549999999999999">
      <c r="CF35" s="505">
        <v>11</v>
      </c>
    </row>
    <row customHeight="1" ht="11.549999999999999">
      <c r="D36" s="656"/>
      <c r="E36" s="2384"/>
      <c r="F36" s="2384"/>
      <c r="G36" s="2384"/>
      <c r="H36" s="2384"/>
      <c r="I36" s="2384"/>
      <c r="J36" s="2384"/>
      <c r="K36" s="2384"/>
      <c r="L36" s="2384"/>
      <c r="M36" s="2384"/>
      <c r="N36" s="2384"/>
      <c r="O36" s="2384"/>
      <c r="P36" s="2384"/>
      <c r="Q36" s="2384"/>
      <c r="R36" s="2384"/>
      <c r="CF36" s="505">
        <v>11</v>
      </c>
    </row>
    <row customHeight="1" ht="11.549999999999999">
      <c r="F37" s="758"/>
      <c r="G37" s="758"/>
      <c r="CF37" s="505">
        <v>11</v>
      </c>
    </row>
    <row customHeight="1" ht="11.25" hidden="1">
      <c r="A38" s="610" t="s">
        <v>82</v>
      </c>
      <c r="B38" s="449">
        <v>0</v>
      </c>
      <c r="C38" s="505">
        <v>3</v>
      </c>
      <c r="D38" s="505">
        <v>0</v>
      </c>
      <c r="E38" s="505">
        <v>7</v>
      </c>
      <c r="F38" s="505">
        <v>7</v>
      </c>
      <c r="G38" s="505">
        <v>29</v>
      </c>
      <c r="H38" s="505">
        <v>3</v>
      </c>
      <c r="I38" s="505">
        <v>5</v>
      </c>
      <c r="J38" s="505">
        <v>24</v>
      </c>
      <c r="K38" s="505">
        <v>24</v>
      </c>
      <c r="L38" s="505">
        <v>3</v>
      </c>
      <c r="M38" s="505">
        <v>6</v>
      </c>
      <c r="N38" s="505">
        <v>25</v>
      </c>
      <c r="O38" s="505">
        <v>18</v>
      </c>
      <c r="P38" s="505">
        <v>18</v>
      </c>
      <c r="Q38" s="505">
        <v>18</v>
      </c>
      <c r="R38" s="505">
        <v>18</v>
      </c>
      <c r="S38" s="505">
        <v>93</v>
      </c>
      <c r="T38" s="505">
        <v>10</v>
      </c>
      <c r="U38" s="611">
        <v>10</v>
      </c>
      <c r="V38" s="611">
        <v>11</v>
      </c>
      <c r="W38" s="612">
        <v>10</v>
      </c>
      <c r="X38" s="449">
        <v>10</v>
      </c>
      <c r="Y38" s="449">
        <v>10</v>
      </c>
      <c r="Z38" s="449">
        <v>10</v>
      </c>
      <c r="AA38" s="449">
        <v>10</v>
      </c>
      <c r="AB38" s="505">
        <v>8</v>
      </c>
      <c r="AC38" s="505">
        <v>8</v>
      </c>
      <c r="AD38" s="505">
        <v>8</v>
      </c>
      <c r="AE38" s="505">
        <v>8</v>
      </c>
      <c r="AF38" s="505">
        <v>8</v>
      </c>
      <c r="AG38" s="505">
        <v>8</v>
      </c>
      <c r="AH38" s="505">
        <v>8</v>
      </c>
      <c r="AI38" s="505">
        <v>8</v>
      </c>
      <c r="AJ38" s="505">
        <v>8</v>
      </c>
      <c r="AK38" s="505">
        <v>8</v>
      </c>
      <c r="AL38" s="505">
        <v>8</v>
      </c>
      <c r="AM38" s="505">
        <v>8</v>
      </c>
      <c r="AN38" s="505">
        <v>8</v>
      </c>
      <c r="AO38" s="505">
        <v>8</v>
      </c>
      <c r="AP38" s="505">
        <v>8</v>
      </c>
      <c r="AQ38" s="505">
        <v>8</v>
      </c>
      <c r="AR38" s="505">
        <v>8</v>
      </c>
      <c r="AS38" s="505">
        <v>8</v>
      </c>
      <c r="AT38" s="505">
        <v>8</v>
      </c>
      <c r="AU38" s="505">
        <v>8</v>
      </c>
      <c r="AV38" s="505">
        <v>8</v>
      </c>
      <c r="AW38" s="505">
        <v>8</v>
      </c>
      <c r="AX38" s="505">
        <v>8</v>
      </c>
      <c r="AY38" s="505">
        <v>8</v>
      </c>
      <c r="AZ38" s="505">
        <v>8</v>
      </c>
      <c r="BA38" s="505">
        <v>8</v>
      </c>
      <c r="BB38" s="505">
        <v>8</v>
      </c>
      <c r="BC38" s="505">
        <v>8</v>
      </c>
      <c r="BD38" s="505">
        <v>8</v>
      </c>
      <c r="BE38" s="505">
        <v>8</v>
      </c>
      <c r="BF38" s="505">
        <v>8</v>
      </c>
      <c r="BG38" s="505">
        <v>8</v>
      </c>
      <c r="BH38" s="505">
        <v>8</v>
      </c>
      <c r="BI38" s="505">
        <v>8</v>
      </c>
      <c r="BJ38" s="505">
        <v>8</v>
      </c>
      <c r="BK38" s="505">
        <v>8</v>
      </c>
      <c r="BL38" s="505">
        <v>8</v>
      </c>
      <c r="BM38" s="505">
        <v>8</v>
      </c>
      <c r="BN38" s="505">
        <v>8</v>
      </c>
      <c r="BO38" s="505">
        <v>8</v>
      </c>
      <c r="BP38" s="505">
        <v>8</v>
      </c>
      <c r="BQ38" s="505">
        <v>8</v>
      </c>
      <c r="BR38" s="505">
        <v>8</v>
      </c>
      <c r="BS38" s="505">
        <v>8</v>
      </c>
      <c r="BT38" s="505">
        <v>8</v>
      </c>
      <c r="BU38" s="505">
        <v>8</v>
      </c>
      <c r="BV38" s="505">
        <v>8</v>
      </c>
      <c r="BW38" s="505">
        <v>8</v>
      </c>
      <c r="BX38" s="505">
        <v>8</v>
      </c>
      <c r="BY38" s="505">
        <v>8</v>
      </c>
      <c r="BZ38" s="505">
        <v>8</v>
      </c>
      <c r="CA38" s="505">
        <v>8</v>
      </c>
      <c r="CB38" s="505">
        <v>8</v>
      </c>
      <c r="CC38" s="505">
        <v>8</v>
      </c>
      <c r="CD38" s="505">
        <v>8</v>
      </c>
      <c r="CE38" s="505">
        <v>8</v>
      </c>
      <c r="CF38" s="505">
        <v>11</v>
      </c>
    </row>
  </sheetData>
  <sheetProtection formatColumns="0" formatRows="0" autoFilter="0" sort="0" insertRows="0" insertColumns="1" deleteRows="0" deleteColumns="0"/>
  <mergeCells count="35">
    <mergeCell ref="E5:K5"/>
    <mergeCell ref="E6:K6"/>
    <mergeCell ref="E9:R9"/>
    <mergeCell ref="S9:S10"/>
    <mergeCell ref="E10:F10"/>
    <mergeCell ref="H10:I10"/>
    <mergeCell ref="L10:M10"/>
    <mergeCell ref="D14:D22"/>
    <mergeCell ref="H14:R14"/>
    <mergeCell ref="H15:R15"/>
    <mergeCell ref="H16:R16"/>
    <mergeCell ref="E36:R36"/>
    <mergeCell ref="E20:P20"/>
    <mergeCell ref="U20:U22"/>
    <mergeCell ref="V20:V22"/>
    <mergeCell ref="AC14:AC19"/>
    <mergeCell ref="E17:P17"/>
    <mergeCell ref="U17:U19"/>
    <mergeCell ref="V17:V19"/>
    <mergeCell ref="E14:G14"/>
    <mergeCell ref="E15:G15"/>
    <mergeCell ref="E16:G16"/>
    <mergeCell ref="U29:U31"/>
    <mergeCell ref="V29:V31"/>
    <mergeCell ref="U26:U28"/>
    <mergeCell ref="V26:V28"/>
    <mergeCell ref="D23:D31"/>
    <mergeCell ref="E23:G23"/>
    <mergeCell ref="H23:R23"/>
    <mergeCell ref="AC23:AC28"/>
    <mergeCell ref="E24:G24"/>
    <mergeCell ref="H24:R24"/>
    <mergeCell ref="E25:G25"/>
    <mergeCell ref="H25:R25"/>
    <mergeCell ref="E26:P26"/>
  </mergeCell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FE0DC21-4FB4-AFA9-775B-AD73895A891E}" mc:Ignorable="x14ac xr xr2 xr3">
  <sheetPr>
    <tabColor theme="9" tint="-0.25"/>
  </sheetPr>
  <dimension ref="A1:AL204"/>
  <sheetViews>
    <sheetView showGridLines="0" zoomScale="90" workbookViewId="0">
      <pane xSplit="12" ySplit="14" topLeftCell="N15" activePane="bottomRight" state="frozen"/>
      <selection pane="bottomLeft" activeCell="A15" sqref="A15"/>
      <selection pane="topRight" activeCell="M1" sqref="M1"/>
      <selection pane="bottomRight" activeCell="N9" sqref="N9"/>
    </sheetView>
  </sheetViews>
  <sheetFormatPr defaultColWidth="9.140625" customHeight="1" defaultRowHeight="11.25"/>
  <cols>
    <col min="1" max="5" style="987" width="10.7109375" hidden="1" customWidth="1"/>
    <col min="6" max="6" style="1366" width="16.8515625" hidden="1" customWidth="1"/>
    <col min="7" max="7" style="1642" width="5.57421875" hidden="1" customWidth="1"/>
    <col min="8" max="8" style="1635" width="3.00390625" customWidth="1"/>
    <col min="9" max="9" style="1635" width="7.00390625" customWidth="1"/>
    <col min="10" max="10" style="1635" width="56.00390625" customWidth="1"/>
    <col min="11" max="11" style="1635" width="10.00390625" customWidth="1"/>
    <col min="12" max="12" style="1635" width="40.57421875" hidden="1" customWidth="1"/>
    <col min="13" max="13" style="1635" width="40.7109375" customWidth="1"/>
    <col min="14" max="14" style="1635" width="40.57421875" customWidth="1"/>
    <col min="15" max="15" style="1366" width="9.7109375" hidden="1" customWidth="1"/>
    <col min="16" max="16" style="1635" width="102.00390625" customWidth="1"/>
    <col min="17" max="17" style="1366" width="9.00390625" customWidth="1"/>
    <col min="18" max="18" style="1642" width="5.00390625" customWidth="1"/>
    <col min="19" max="19" style="1642" width="3.00390625" customWidth="1"/>
    <col min="20" max="23" style="1366" width="3.00390625" customWidth="1"/>
    <col min="24" max="24" style="1642" width="10.00390625" customWidth="1"/>
    <col min="25" max="25" style="1366" width="34.00390625" customWidth="1"/>
    <col min="26" max="26" style="1366" width="9.00390625" customWidth="1"/>
    <col min="27" max="27" style="736" width="8.00390625" customWidth="1"/>
    <col min="28" max="32" style="1366" width="8.00390625" customWidth="1"/>
    <col min="33" max="37" style="1632" width="8.00390625" customWidth="1"/>
    <col min="38" max="38" style="1635" width="5.421875" hidden="1" customWidth="1"/>
  </cols>
  <sheetData>
    <row s="1366" customFormat="1" customHeight="1" ht="33.75" hidden="1">
      <c r="A1" s="987"/>
      <c r="B1" s="987"/>
      <c r="C1" s="987"/>
      <c r="D1" s="987"/>
      <c r="E1" s="987"/>
      <c r="G1" s="1636"/>
      <c r="H1" s="878"/>
      <c r="L1" s="1366">
        <v>4</v>
      </c>
      <c r="M1" s="1366">
        <v>4</v>
      </c>
      <c r="N1" s="1366">
        <v>4</v>
      </c>
      <c r="R1" s="1636"/>
      <c r="S1" s="1636"/>
      <c r="X1" s="1636"/>
      <c r="AL1" s="1366" t="s">
        <v>14</v>
      </c>
    </row>
    <row s="1366" customFormat="1" customHeight="1" ht="78.75" hidden="1">
      <c r="A2" s="987"/>
      <c r="B2" s="2053" t="s">
        <v>618</v>
      </c>
      <c r="C2" s="2053" t="s">
        <v>619</v>
      </c>
      <c r="D2" s="2052" t="s">
        <v>620</v>
      </c>
      <c r="E2" s="2056">
        <f>RIGHT(I2,LEN(I2)-SEARCH("#",SUBSTITUTE(I2,".","#",LEN(I2)-LEN(SUBSTITUTE(I2,".","")))))</f>
      </c>
      <c r="F2" s="2058">
        <f>J2</f>
        <v>0</v>
      </c>
      <c r="G2" s="1636"/>
      <c r="H2" s="2059"/>
      <c r="I2" s="2049"/>
      <c r="J2" s="540"/>
      <c r="K2" s="2019" t="s">
        <v>558</v>
      </c>
      <c r="L2" s="751"/>
      <c r="M2" s="751"/>
      <c r="N2" s="751"/>
      <c r="O2" s="543"/>
      <c r="P2" s="1525" t="s">
        <v>559</v>
      </c>
      <c r="Q2" s="543"/>
      <c r="R2" s="1636"/>
      <c r="S2" s="1636"/>
      <c r="X2" s="1636"/>
      <c r="AA2" s="544"/>
      <c r="AG2" s="1632"/>
      <c r="AH2" s="1632"/>
      <c r="AI2" s="1632"/>
      <c r="AJ2" s="1632"/>
      <c r="AK2" s="1632"/>
      <c r="AL2" s="1366">
        <v>0</v>
      </c>
    </row>
    <row customHeight="1" ht="11.25" hidden="1">
      <c r="E3" s="2051" t="s">
        <v>621</v>
      </c>
      <c r="L3" s="1631">
        <f>0</f>
        <v>0</v>
      </c>
      <c r="M3" s="1631">
        <v>1</v>
      </c>
      <c r="N3" s="1635">
        <f>0</f>
        <v>0</v>
      </c>
      <c r="AL3" s="1631">
        <v>0</v>
      </c>
    </row>
    <row s="1632" customFormat="1" customHeight="1" ht="11.25" hidden="1">
      <c r="A4" s="987"/>
      <c r="B4" s="987"/>
      <c r="C4" s="987"/>
      <c r="E4" s="987"/>
      <c r="F4" s="1366"/>
      <c r="G4" s="1636"/>
      <c r="H4" s="620"/>
      <c r="N4" s="1632"/>
      <c r="O4" s="1366"/>
      <c r="P4" s="1632">
        <v>4</v>
      </c>
      <c r="Q4" s="1366"/>
      <c r="R4" s="1636"/>
      <c r="S4" s="1636"/>
      <c r="T4" s="1366"/>
      <c r="U4" s="1366"/>
      <c r="V4" s="1366"/>
      <c r="W4" s="1366"/>
      <c r="X4" s="1636"/>
      <c r="Y4" s="1366"/>
      <c r="Z4" s="1366"/>
      <c r="AA4" s="544"/>
      <c r="AB4" s="1366"/>
      <c r="AC4" s="1366"/>
      <c r="AD4" s="1366"/>
      <c r="AE4" s="1366"/>
      <c r="AF4" s="1366"/>
      <c r="AL4" s="1632">
        <v>0</v>
      </c>
    </row>
    <row customHeight="1" ht="11.549999999999999">
      <c r="N5" s="1635"/>
      <c r="AL5" s="1631">
        <v>11</v>
      </c>
    </row>
    <row customHeight="1" ht="57.75">
      <c r="I6" s="2307" t="s">
        <v>622</v>
      </c>
      <c r="J6" s="2307"/>
      <c r="K6" s="2307"/>
      <c r="L6" s="2307"/>
      <c r="M6" s="2307"/>
      <c r="N6" s="2307"/>
      <c r="P6" s="556"/>
      <c r="AL6" s="1631">
        <v>55</v>
      </c>
    </row>
    <row customHeight="1" ht="25.2">
      <c r="I7" s="2249" t="str">
        <f>IF(org=0,"Не определено",org)</f>
        <v>ПАО "ОГК-2"</v>
      </c>
      <c r="J7" s="2249"/>
      <c r="K7" s="2249"/>
      <c r="L7" s="2249"/>
      <c r="M7" s="2249"/>
      <c r="N7" s="2249"/>
      <c r="AL7" s="1631">
        <v>24</v>
      </c>
    </row>
    <row customHeight="1" ht="11.549999999999999">
      <c r="I8" s="1135"/>
      <c r="J8" s="1135"/>
      <c r="K8" s="1135"/>
      <c r="L8" s="1135"/>
      <c r="M8" s="1135"/>
      <c r="N8" s="1136" t="s">
        <v>22</v>
      </c>
      <c r="AL8" s="1631">
        <v>11</v>
      </c>
    </row>
    <row s="1642" customFormat="1" customHeight="1" ht="30" hidden="1">
      <c r="A9" s="1167"/>
      <c r="B9" s="1167"/>
      <c r="C9" s="1167"/>
      <c r="E9" s="1167"/>
      <c r="H9" s="1642"/>
      <c r="L9" s="889"/>
      <c r="M9" s="889" t="s">
        <v>117</v>
      </c>
      <c r="N9" s="889" t="s">
        <v>123</v>
      </c>
      <c r="AL9" s="1636">
        <v>1</v>
      </c>
    </row>
    <row customHeight="1" ht="11.549999999999999">
      <c r="E10" s="2050" t="s">
        <v>623</v>
      </c>
      <c r="I10" s="711"/>
      <c r="J10" s="2367" t="s">
        <v>105</v>
      </c>
      <c r="K10" s="2368"/>
      <c r="L10" s="2029" t="str">
        <f>IF(L9="","",INDEX(DIFFERENTIATION_UNMERGE_VD,MATCH(L9,DIFFERENTIATION_ID_DIFF,0)))</f>
        <v/>
      </c>
      <c r="M10" s="2029" t="str">
        <f>IF(M9="","",INDEX(DIFFERENTIATION_UNMERGE_VD,MATCH(M9,DIFFERENTIATION_ID_DIFF,0)))</f>
        <v>Производство тепловой энергии. Некомбинированная выработка</v>
      </c>
      <c r="N10" s="2393" t="str">
        <f>IF(N9="","",INDEX(DIFFERENTIATION_UNMERGE_VD,MATCH(N9,DIFFERENTIATION_ID_DIFF,0)))</f>
        <v>Производство. Теплоноситель</v>
      </c>
      <c r="P10" s="2127" t="s">
        <v>303</v>
      </c>
      <c r="AL10" s="1631">
        <v>11</v>
      </c>
    </row>
    <row customHeight="1" ht="11.549999999999999">
      <c r="E11" s="2050" t="s">
        <v>624</v>
      </c>
      <c r="I11" s="711"/>
      <c r="J11" s="2367" t="s">
        <v>566</v>
      </c>
      <c r="K11" s="2368"/>
      <c r="L11" s="2029" t="str">
        <f>IF(L9="","",INDEX(DIFFERENTIATION_UNMERGE_AREA,MATCH(L9,DIFFERENTIATION_ID_DIFF,0)))</f>
        <v/>
      </c>
      <c r="M11" s="2029" t="str">
        <f>IF(M9="","",INDEX(DIFFERENTIATION_UNMERGE_AREA,MATCH(M9,DIFFERENTIATION_ID_DIFF,0)))</f>
        <v>без дифференциации</v>
      </c>
      <c r="N11" s="2393" t="str">
        <f>IF(N9="","",INDEX(DIFFERENTIATION_UNMERGE_AREA,MATCH(N9,DIFFERENTIATION_ID_DIFF,0)))</f>
        <v>без дифференциации</v>
      </c>
      <c r="P11" s="2127"/>
      <c r="AL11" s="1631">
        <v>11</v>
      </c>
    </row>
    <row customHeight="1" ht="11.549999999999999">
      <c r="E12" s="2050" t="s">
        <v>625</v>
      </c>
      <c r="I12" s="1662"/>
      <c r="J12" s="2367" t="s">
        <v>567</v>
      </c>
      <c r="K12" s="2368"/>
      <c r="L12" s="2029" t="str">
        <f>IF(L9="","",INDEX(DIFFERENTIATION_UNMERGE_SYSTEM,MATCH(L9,DIFFERENTIATION_ID_DIFF,0)))</f>
        <v/>
      </c>
      <c r="M12" s="2029" t="str">
        <f>IF(M9="","",INDEX(DIFFERENTIATION_UNMERGE_SYSTEM,MATCH(M9,DIFFERENTIATION_ID_DIFF,0)))</f>
        <v>без дифференциации</v>
      </c>
      <c r="N12" s="2393" t="str">
        <f>IF(N9="","",INDEX(DIFFERENTIATION_UNMERGE_SYSTEM,MATCH(N9,DIFFERENTIATION_ID_DIFF,0)))</f>
        <v>без дифференциации</v>
      </c>
      <c r="P12" s="2127"/>
      <c r="AL12" s="1631">
        <v>11</v>
      </c>
    </row>
    <row customHeight="1" ht="11.549999999999999">
      <c r="E13" s="2050" t="s">
        <v>626</v>
      </c>
      <c r="F13" s="2050" t="s">
        <v>627</v>
      </c>
      <c r="I13" s="2369" t="s">
        <v>302</v>
      </c>
      <c r="J13" s="2370"/>
      <c r="K13" s="2370"/>
      <c r="L13" s="2027"/>
      <c r="M13" s="2067"/>
      <c r="N13" s="2367"/>
      <c r="P13" s="2127"/>
      <c r="AL13" s="1631">
        <v>11</v>
      </c>
    </row>
    <row customHeight="1" ht="24">
      <c r="I14" s="2020" t="s">
        <v>88</v>
      </c>
      <c r="J14" s="2020" t="s">
        <v>304</v>
      </c>
      <c r="K14" s="2020" t="s">
        <v>568</v>
      </c>
      <c r="L14" s="2060" t="s">
        <v>305</v>
      </c>
      <c r="M14" s="2061" t="s">
        <v>305</v>
      </c>
      <c r="N14" s="2262" t="s">
        <v>305</v>
      </c>
      <c r="P14" s="2127"/>
      <c r="AL14" s="1631">
        <v>23</v>
      </c>
    </row>
    <row customHeight="1" ht="24">
      <c r="A15" s="2054"/>
      <c r="B15" s="2053" t="s">
        <v>628</v>
      </c>
      <c r="C15" s="2053" t="s">
        <v>629</v>
      </c>
      <c r="D15" s="2052" t="s">
        <v>630</v>
      </c>
      <c r="E15" s="2056" t="s">
        <v>631</v>
      </c>
      <c r="F15" s="2056" t="s">
        <v>631</v>
      </c>
      <c r="G15" s="1636" t="s">
        <v>590</v>
      </c>
      <c r="H15" s="2021"/>
      <c r="I15" s="1630">
        <v>1</v>
      </c>
      <c r="J15" s="2022" t="s">
        <v>632</v>
      </c>
      <c r="K15" s="2020" t="s">
        <v>308</v>
      </c>
      <c r="L15" s="662"/>
      <c r="M15" s="818"/>
      <c r="N15" s="662"/>
      <c r="O15" s="543" t="s">
        <v>633</v>
      </c>
      <c r="P15" s="1525" t="s">
        <v>634</v>
      </c>
      <c r="Q15" s="543" t="s">
        <v>633</v>
      </c>
      <c r="AL15" s="1631">
        <v>23</v>
      </c>
    </row>
    <row customHeight="1" ht="35.699999999999996">
      <c r="A16" s="2054"/>
      <c r="B16" s="2053" t="s">
        <v>635</v>
      </c>
      <c r="C16" s="2053" t="s">
        <v>636</v>
      </c>
      <c r="D16" s="2052" t="s">
        <v>620</v>
      </c>
      <c r="E16" s="2056" t="s">
        <v>631</v>
      </c>
      <c r="F16" s="2056" t="s">
        <v>631</v>
      </c>
      <c r="H16" s="2021"/>
      <c r="I16" s="1629">
        <v>2</v>
      </c>
      <c r="J16" s="2063" t="s">
        <v>637</v>
      </c>
      <c r="K16" s="2062" t="s">
        <v>558</v>
      </c>
      <c r="L16" s="2068"/>
      <c r="M16" s="1676"/>
      <c r="N16" s="2068"/>
      <c r="O16" s="543" t="s">
        <v>633</v>
      </c>
      <c r="P16" s="1525" t="s">
        <v>638</v>
      </c>
      <c r="Q16" s="543" t="s">
        <v>633</v>
      </c>
      <c r="AL16" s="1631">
        <v>34</v>
      </c>
    </row>
    <row s="1642" customFormat="1" customHeight="1" ht="17.25" hidden="1">
      <c r="A17" s="1167"/>
      <c r="B17" s="1167"/>
      <c r="C17" s="1167"/>
      <c r="D17" s="1167"/>
      <c r="E17" s="1167"/>
      <c r="H17" s="1324"/>
      <c r="I17" s="1013" t="s">
        <v>639</v>
      </c>
      <c r="J17" s="991"/>
      <c r="K17" s="1013"/>
      <c r="L17" s="992"/>
      <c r="M17" s="992"/>
      <c r="N17" s="992"/>
      <c r="P17" s="1385"/>
      <c r="AL17" s="1636">
        <v>1</v>
      </c>
    </row>
    <row s="1366" customFormat="1" customHeight="1" ht="24">
      <c r="A18" s="987"/>
      <c r="B18" s="987"/>
      <c r="C18" s="987"/>
      <c r="D18" s="987"/>
      <c r="E18" s="987"/>
      <c r="G18" s="1636"/>
      <c r="H18" s="1633"/>
      <c r="I18" s="570"/>
      <c r="J18" s="571" t="s">
        <v>588</v>
      </c>
      <c r="K18" s="572"/>
      <c r="L18" s="2070"/>
      <c r="M18" s="573"/>
      <c r="N18" s="2639"/>
      <c r="O18" s="543"/>
      <c r="P18" s="1525" t="s">
        <v>589</v>
      </c>
      <c r="Q18" s="543"/>
      <c r="R18" s="1636"/>
      <c r="S18" s="1636"/>
      <c r="X18" s="1636"/>
      <c r="AA18" s="544"/>
      <c r="AG18" s="1632"/>
      <c r="AH18" s="1632"/>
      <c r="AI18" s="1632"/>
      <c r="AJ18" s="1632"/>
      <c r="AK18" s="1632"/>
      <c r="AL18" s="1366">
        <v>23</v>
      </c>
    </row>
    <row customHeight="1" ht="19.95">
      <c r="A19" s="2054"/>
      <c r="B19" s="2053" t="s">
        <v>640</v>
      </c>
      <c r="C19" s="2053" t="s">
        <v>641</v>
      </c>
      <c r="D19" s="2052" t="s">
        <v>620</v>
      </c>
      <c r="E19" s="2056" t="s">
        <v>631</v>
      </c>
      <c r="F19" s="2056" t="s">
        <v>631</v>
      </c>
      <c r="H19" s="2021"/>
      <c r="I19" s="1664">
        <v>3</v>
      </c>
      <c r="J19" s="2022" t="s">
        <v>641</v>
      </c>
      <c r="K19" s="2018" t="s">
        <v>558</v>
      </c>
      <c r="L19" s="727"/>
      <c r="M19" s="557"/>
      <c r="N19" s="727"/>
      <c r="O19" s="543"/>
      <c r="P19" s="1525" t="s">
        <v>642</v>
      </c>
      <c r="Q19" s="543"/>
      <c r="AL19" s="1631">
        <v>19</v>
      </c>
    </row>
    <row customHeight="1" ht="77.7">
      <c r="A20" s="2054"/>
      <c r="B20" s="2053" t="s">
        <v>643</v>
      </c>
      <c r="C20" s="2053" t="s">
        <v>644</v>
      </c>
      <c r="D20" s="2052" t="s">
        <v>620</v>
      </c>
      <c r="E20" s="2056" t="s">
        <v>631</v>
      </c>
      <c r="F20" s="2056" t="s">
        <v>631</v>
      </c>
      <c r="H20" s="2021"/>
      <c r="I20" s="1664">
        <v>4</v>
      </c>
      <c r="J20" s="2022" t="s">
        <v>645</v>
      </c>
      <c r="K20" s="2018" t="s">
        <v>585</v>
      </c>
      <c r="L20" s="727"/>
      <c r="M20" s="557"/>
      <c r="N20" s="727"/>
      <c r="O20" s="543"/>
      <c r="P20" s="1525"/>
      <c r="Q20" s="543"/>
      <c r="AL20" s="1631">
        <v>74</v>
      </c>
    </row>
    <row customHeight="1" ht="35.699999999999996">
      <c r="A21" s="2054"/>
      <c r="B21" s="2053" t="s">
        <v>646</v>
      </c>
      <c r="C21" s="2053" t="s">
        <v>647</v>
      </c>
      <c r="D21" s="2052" t="s">
        <v>620</v>
      </c>
      <c r="E21" s="2056" t="s">
        <v>631</v>
      </c>
      <c r="F21" s="2056" t="s">
        <v>631</v>
      </c>
      <c r="H21" s="2021"/>
      <c r="I21" s="1664">
        <v>5</v>
      </c>
      <c r="J21" s="2022" t="s">
        <v>648</v>
      </c>
      <c r="K21" s="2018" t="s">
        <v>585</v>
      </c>
      <c r="L21" s="727"/>
      <c r="M21" s="557"/>
      <c r="N21" s="727"/>
      <c r="O21" s="543"/>
      <c r="P21" s="1525" t="s">
        <v>642</v>
      </c>
      <c r="Q21" s="543"/>
      <c r="AL21" s="1631">
        <v>34</v>
      </c>
    </row>
    <row customHeight="1" ht="48.29999999999999">
      <c r="A22" s="2054"/>
      <c r="B22" s="2053" t="s">
        <v>649</v>
      </c>
      <c r="C22" s="2053" t="s">
        <v>650</v>
      </c>
      <c r="D22" s="2052" t="s">
        <v>620</v>
      </c>
      <c r="E22" s="2056" t="s">
        <v>631</v>
      </c>
      <c r="F22" s="2056" t="s">
        <v>631</v>
      </c>
      <c r="H22" s="2021"/>
      <c r="I22" s="1664">
        <v>6</v>
      </c>
      <c r="J22" s="2022" t="s">
        <v>651</v>
      </c>
      <c r="K22" s="2018" t="s">
        <v>585</v>
      </c>
      <c r="L22" s="727"/>
      <c r="M22" s="557"/>
      <c r="N22" s="727"/>
      <c r="O22" s="543"/>
      <c r="P22" s="1525" t="s">
        <v>652</v>
      </c>
      <c r="Q22" s="543"/>
      <c r="AL22" s="1631">
        <v>46</v>
      </c>
    </row>
    <row customHeight="1" ht="19.95">
      <c r="A23" s="2054"/>
      <c r="B23" s="2053" t="s">
        <v>653</v>
      </c>
      <c r="C23" s="2053" t="s">
        <v>654</v>
      </c>
      <c r="D23" s="2052" t="s">
        <v>620</v>
      </c>
      <c r="E23" s="2056" t="s">
        <v>631</v>
      </c>
      <c r="F23" s="2056" t="s">
        <v>631</v>
      </c>
      <c r="H23" s="2021"/>
      <c r="I23" s="1664" t="s">
        <v>655</v>
      </c>
      <c r="J23" s="1524" t="s">
        <v>656</v>
      </c>
      <c r="K23" s="2018" t="s">
        <v>585</v>
      </c>
      <c r="L23" s="727"/>
      <c r="M23" s="557"/>
      <c r="N23" s="727"/>
      <c r="O23" s="543"/>
      <c r="P23" s="1525" t="s">
        <v>642</v>
      </c>
      <c r="Q23" s="543"/>
      <c r="AL23" s="1631">
        <v>19</v>
      </c>
    </row>
    <row customHeight="1" ht="19.95">
      <c r="A24" s="2054"/>
      <c r="B24" s="2053" t="s">
        <v>657</v>
      </c>
      <c r="C24" s="2053" t="s">
        <v>658</v>
      </c>
      <c r="D24" s="2052" t="s">
        <v>620</v>
      </c>
      <c r="E24" s="2056" t="s">
        <v>631</v>
      </c>
      <c r="F24" s="2056" t="s">
        <v>631</v>
      </c>
      <c r="H24" s="2021"/>
      <c r="I24" s="1664" t="s">
        <v>659</v>
      </c>
      <c r="J24" s="1524" t="s">
        <v>660</v>
      </c>
      <c r="K24" s="2018" t="s">
        <v>585</v>
      </c>
      <c r="L24" s="727"/>
      <c r="M24" s="557"/>
      <c r="N24" s="727"/>
      <c r="O24" s="543"/>
      <c r="P24" s="1525"/>
      <c r="Q24" s="543"/>
      <c r="AL24" s="1631">
        <v>19</v>
      </c>
    </row>
    <row customHeight="1" ht="24">
      <c r="A25" s="2054"/>
      <c r="B25" s="2053" t="s">
        <v>661</v>
      </c>
      <c r="C25" s="2053" t="s">
        <v>662</v>
      </c>
      <c r="D25" s="2052" t="s">
        <v>620</v>
      </c>
      <c r="E25" s="2056" t="s">
        <v>631</v>
      </c>
      <c r="F25" s="2056" t="s">
        <v>631</v>
      </c>
      <c r="H25" s="2021"/>
      <c r="I25" s="1664" t="s">
        <v>663</v>
      </c>
      <c r="J25" s="1524" t="s">
        <v>664</v>
      </c>
      <c r="K25" s="2018" t="s">
        <v>585</v>
      </c>
      <c r="L25" s="727"/>
      <c r="M25" s="557"/>
      <c r="N25" s="727"/>
      <c r="O25" s="543"/>
      <c r="P25" s="1525"/>
      <c r="Q25" s="543"/>
      <c r="AL25" s="1631">
        <v>23</v>
      </c>
    </row>
    <row customHeight="1" ht="24">
      <c r="A26" s="2054"/>
      <c r="B26" s="2053" t="s">
        <v>665</v>
      </c>
      <c r="C26" s="2053" t="s">
        <v>666</v>
      </c>
      <c r="D26" s="2052" t="s">
        <v>620</v>
      </c>
      <c r="E26" s="2056" t="s">
        <v>631</v>
      </c>
      <c r="F26" s="2056" t="s">
        <v>631</v>
      </c>
      <c r="H26" s="2021"/>
      <c r="I26" s="1664">
        <v>7</v>
      </c>
      <c r="J26" s="2022" t="s">
        <v>666</v>
      </c>
      <c r="K26" s="2018" t="s">
        <v>667</v>
      </c>
      <c r="L26" s="727"/>
      <c r="M26" s="557"/>
      <c r="N26" s="727"/>
      <c r="O26" s="543"/>
      <c r="P26" s="1525"/>
      <c r="Q26" s="543"/>
      <c r="AL26" s="1631">
        <v>23</v>
      </c>
    </row>
    <row customHeight="1" ht="24">
      <c r="A27" s="2054"/>
      <c r="B27" s="2053" t="s">
        <v>668</v>
      </c>
      <c r="C27" s="2053" t="s">
        <v>669</v>
      </c>
      <c r="D27" s="2052" t="s">
        <v>620</v>
      </c>
      <c r="E27" s="2056" t="s">
        <v>631</v>
      </c>
      <c r="F27" s="2056" t="s">
        <v>631</v>
      </c>
      <c r="H27" s="2021"/>
      <c r="I27" s="1664">
        <v>8</v>
      </c>
      <c r="J27" s="2022" t="s">
        <v>669</v>
      </c>
      <c r="K27" s="2018" t="s">
        <v>591</v>
      </c>
      <c r="L27" s="727"/>
      <c r="M27" s="557"/>
      <c r="N27" s="727"/>
      <c r="O27" s="543"/>
      <c r="P27" s="1525"/>
      <c r="Q27" s="543"/>
      <c r="AL27" s="1631">
        <v>23</v>
      </c>
    </row>
    <row customHeight="1" ht="35.699999999999996">
      <c r="A28" s="2054"/>
      <c r="B28" s="2053" t="s">
        <v>670</v>
      </c>
      <c r="C28" s="2053" t="s">
        <v>671</v>
      </c>
      <c r="D28" s="2052" t="s">
        <v>620</v>
      </c>
      <c r="E28" s="2056" t="s">
        <v>631</v>
      </c>
      <c r="F28" s="2056" t="s">
        <v>631</v>
      </c>
      <c r="H28" s="2021"/>
      <c r="I28" s="1675">
        <v>9</v>
      </c>
      <c r="J28" s="2022" t="s">
        <v>672</v>
      </c>
      <c r="K28" s="2018" t="s">
        <v>562</v>
      </c>
      <c r="L28" s="727"/>
      <c r="M28" s="557"/>
      <c r="N28" s="727"/>
      <c r="O28" s="543"/>
      <c r="P28" s="1525"/>
      <c r="Q28" s="543"/>
      <c r="AL28" s="1631">
        <v>34</v>
      </c>
    </row>
    <row customHeight="1" ht="35.699999999999996">
      <c r="A29" s="2054"/>
      <c r="B29" s="2053" t="s">
        <v>673</v>
      </c>
      <c r="C29" s="2053" t="s">
        <v>674</v>
      </c>
      <c r="D29" s="2052" t="s">
        <v>620</v>
      </c>
      <c r="E29" s="2056" t="s">
        <v>631</v>
      </c>
      <c r="F29" s="2056" t="s">
        <v>631</v>
      </c>
      <c r="H29" s="2021"/>
      <c r="I29" s="1675">
        <v>10</v>
      </c>
      <c r="J29" s="2022" t="s">
        <v>675</v>
      </c>
      <c r="K29" s="2018" t="s">
        <v>562</v>
      </c>
      <c r="L29" s="727"/>
      <c r="M29" s="557"/>
      <c r="N29" s="727"/>
      <c r="O29" s="543"/>
      <c r="P29" s="1525"/>
      <c r="Q29" s="543"/>
      <c r="AL29" s="1631">
        <v>34</v>
      </c>
    </row>
    <row customHeight="1" ht="24">
      <c r="A30" s="2054"/>
      <c r="B30" s="2053" t="s">
        <v>676</v>
      </c>
      <c r="C30" s="2053" t="s">
        <v>677</v>
      </c>
      <c r="D30" s="2052" t="s">
        <v>620</v>
      </c>
      <c r="E30" s="2056" t="s">
        <v>631</v>
      </c>
      <c r="F30" s="2056" t="s">
        <v>631</v>
      </c>
      <c r="H30" s="2021"/>
      <c r="I30" s="1675">
        <v>11</v>
      </c>
      <c r="J30" s="2022" t="s">
        <v>677</v>
      </c>
      <c r="K30" s="2018" t="s">
        <v>592</v>
      </c>
      <c r="L30" s="2069"/>
      <c r="M30" s="1621"/>
      <c r="N30" s="2069"/>
      <c r="O30" s="543"/>
      <c r="P30" s="1525"/>
      <c r="Q30" s="543"/>
      <c r="AL30" s="1631">
        <v>23</v>
      </c>
    </row>
    <row customHeight="1" ht="24">
      <c r="A31" s="2054"/>
      <c r="B31" s="2053" t="s">
        <v>678</v>
      </c>
      <c r="C31" s="2053" t="s">
        <v>679</v>
      </c>
      <c r="D31" s="2052" t="s">
        <v>620</v>
      </c>
      <c r="E31" s="2056" t="s">
        <v>631</v>
      </c>
      <c r="F31" s="2056" t="s">
        <v>631</v>
      </c>
      <c r="H31" s="2021"/>
      <c r="I31" s="1675">
        <v>12</v>
      </c>
      <c r="J31" s="2022" t="s">
        <v>679</v>
      </c>
      <c r="K31" s="2018" t="s">
        <v>592</v>
      </c>
      <c r="L31" s="2069"/>
      <c r="M31" s="1621"/>
      <c r="N31" s="2069"/>
      <c r="O31" s="543"/>
      <c r="P31" s="1525"/>
      <c r="Q31" s="543"/>
      <c r="AL31" s="1631">
        <v>23</v>
      </c>
    </row>
    <row customHeight="1" ht="48.29999999999999">
      <c r="A32" s="2054"/>
      <c r="B32" s="2053" t="s">
        <v>680</v>
      </c>
      <c r="C32" s="2053" t="s">
        <v>681</v>
      </c>
      <c r="D32" s="2052" t="s">
        <v>620</v>
      </c>
      <c r="E32" s="2056" t="s">
        <v>631</v>
      </c>
      <c r="F32" s="2056" t="s">
        <v>631</v>
      </c>
      <c r="H32" s="2021"/>
      <c r="I32" s="1675">
        <v>13</v>
      </c>
      <c r="J32" s="2022" t="s">
        <v>682</v>
      </c>
      <c r="K32" s="2018" t="s">
        <v>602</v>
      </c>
      <c r="L32" s="727"/>
      <c r="M32" s="557"/>
      <c r="N32" s="727"/>
      <c r="O32" s="543"/>
      <c r="P32" s="1525" t="s">
        <v>642</v>
      </c>
      <c r="Q32" s="543"/>
      <c r="AL32" s="1631">
        <v>46</v>
      </c>
    </row>
    <row s="1366" customFormat="1" customHeight="1" ht="48.29999999999999">
      <c r="A33" s="2054"/>
      <c r="B33" s="2053" t="s">
        <v>683</v>
      </c>
      <c r="C33" s="2053" t="s">
        <v>684</v>
      </c>
      <c r="D33" s="2052" t="s">
        <v>620</v>
      </c>
      <c r="E33" s="2056" t="s">
        <v>631</v>
      </c>
      <c r="F33" s="2056" t="s">
        <v>631</v>
      </c>
      <c r="G33" s="1636"/>
      <c r="H33" s="2021"/>
      <c r="I33" s="1675">
        <v>14</v>
      </c>
      <c r="J33" s="2034" t="s">
        <v>685</v>
      </c>
      <c r="K33" s="2023" t="s">
        <v>686</v>
      </c>
      <c r="L33" s="727"/>
      <c r="M33" s="557"/>
      <c r="N33" s="727"/>
      <c r="O33" s="543"/>
      <c r="P33" s="1525" t="s">
        <v>642</v>
      </c>
      <c r="Q33" s="543"/>
      <c r="R33" s="1636"/>
      <c r="S33" s="1636"/>
      <c r="X33" s="1636"/>
      <c r="AA33" s="544"/>
      <c r="AG33" s="1632"/>
      <c r="AH33" s="1632"/>
      <c r="AI33" s="1632"/>
      <c r="AJ33" s="1632"/>
      <c r="AK33" s="1632"/>
      <c r="AL33" s="1366">
        <v>46</v>
      </c>
    </row>
    <row customHeight="1" ht="108">
      <c r="A34" s="2054"/>
      <c r="B34" s="2053" t="s">
        <v>687</v>
      </c>
      <c r="C34" s="2053" t="s">
        <v>688</v>
      </c>
      <c r="D34" s="2052" t="s">
        <v>630</v>
      </c>
      <c r="E34" s="2056" t="s">
        <v>631</v>
      </c>
      <c r="F34" s="2056" t="s">
        <v>631</v>
      </c>
      <c r="G34" s="1636" t="s">
        <v>590</v>
      </c>
      <c r="H34" s="2021"/>
      <c r="I34" s="2032">
        <v>15</v>
      </c>
      <c r="J34" s="2033" t="s">
        <v>689</v>
      </c>
      <c r="K34" s="2018" t="s">
        <v>308</v>
      </c>
      <c r="L34" s="385"/>
      <c r="M34" s="1164"/>
      <c r="N34" s="385"/>
      <c r="O34" s="543"/>
      <c r="P34" s="1525" t="s">
        <v>634</v>
      </c>
      <c r="Q34" s="543"/>
      <c r="AL34" s="1631">
        <v>103</v>
      </c>
    </row>
    <row s="1641" customFormat="1" customHeight="1" ht="11.549999999999999">
      <c r="A35" s="987"/>
      <c r="B35" s="987"/>
      <c r="C35" s="987"/>
      <c r="D35" s="987"/>
      <c r="E35" s="987"/>
      <c r="F35" s="1636"/>
      <c r="G35" s="1636"/>
      <c r="H35" s="351"/>
      <c r="N35" s="1641"/>
      <c r="O35" s="1366"/>
      <c r="Q35" s="1366"/>
      <c r="R35" s="1636"/>
      <c r="S35" s="1636"/>
      <c r="T35" s="1366"/>
      <c r="U35" s="1366"/>
      <c r="V35" s="1366"/>
      <c r="W35" s="1366"/>
      <c r="X35" s="1636"/>
      <c r="Y35" s="1366"/>
      <c r="Z35" s="1366"/>
      <c r="AA35" s="544"/>
      <c r="AB35" s="1366"/>
      <c r="AC35" s="1366"/>
      <c r="AD35" s="1366"/>
      <c r="AE35" s="1366"/>
      <c r="AF35" s="1366"/>
      <c r="AG35" s="1632"/>
      <c r="AH35" s="622"/>
      <c r="AI35" s="622"/>
      <c r="AJ35" s="622"/>
      <c r="AK35" s="622"/>
      <c r="AL35" s="1641">
        <v>11</v>
      </c>
    </row>
    <row s="1641" customFormat="1" customHeight="1" ht="11.549999999999999">
      <c r="A36" s="987"/>
      <c r="B36" s="987"/>
      <c r="C36" s="987"/>
      <c r="D36" s="987"/>
      <c r="E36" s="987"/>
      <c r="F36" s="1636"/>
      <c r="G36" s="1636"/>
      <c r="H36" s="351"/>
      <c r="N36" s="1641"/>
      <c r="O36" s="1366"/>
      <c r="Q36" s="1366"/>
      <c r="R36" s="1636"/>
      <c r="S36" s="1636"/>
      <c r="T36" s="1366"/>
      <c r="U36" s="1366"/>
      <c r="V36" s="1366"/>
      <c r="W36" s="1366"/>
      <c r="X36" s="1636"/>
      <c r="Y36" s="1366"/>
      <c r="Z36" s="1366"/>
      <c r="AA36" s="544"/>
      <c r="AB36" s="1366"/>
      <c r="AC36" s="1366"/>
      <c r="AD36" s="1366"/>
      <c r="AE36" s="1366"/>
      <c r="AF36" s="1366"/>
      <c r="AG36" s="1632"/>
      <c r="AH36" s="622"/>
      <c r="AI36" s="622"/>
      <c r="AJ36" s="622"/>
      <c r="AK36" s="622"/>
      <c r="AL36" s="1641">
        <v>11</v>
      </c>
    </row>
    <row s="1641" customFormat="1" customHeight="1" ht="11.549999999999999">
      <c r="A37" s="987"/>
      <c r="B37" s="987"/>
      <c r="C37" s="987"/>
      <c r="D37" s="987"/>
      <c r="E37" s="987"/>
      <c r="F37" s="1636"/>
      <c r="G37" s="1636"/>
      <c r="H37" s="351"/>
      <c r="L37" s="622"/>
      <c r="M37" s="622"/>
      <c r="N37" s="622"/>
      <c r="O37" s="1366"/>
      <c r="Q37" s="1366"/>
      <c r="R37" s="1636"/>
      <c r="S37" s="1636"/>
      <c r="T37" s="1366"/>
      <c r="U37" s="1366"/>
      <c r="V37" s="1366"/>
      <c r="W37" s="1366"/>
      <c r="X37" s="1636"/>
      <c r="Y37" s="1366"/>
      <c r="Z37" s="1366"/>
      <c r="AA37" s="544"/>
      <c r="AB37" s="1366"/>
      <c r="AC37" s="1366"/>
      <c r="AD37" s="1366"/>
      <c r="AE37" s="1366"/>
      <c r="AF37" s="1366"/>
      <c r="AG37" s="1632"/>
      <c r="AH37" s="622"/>
      <c r="AI37" s="622"/>
      <c r="AJ37" s="622"/>
      <c r="AK37" s="622"/>
      <c r="AL37" s="1641">
        <v>11</v>
      </c>
    </row>
    <row s="1641" customFormat="1" customHeight="1" ht="11.549999999999999">
      <c r="A38" s="987"/>
      <c r="B38" s="987"/>
      <c r="C38" s="987"/>
      <c r="D38" s="987"/>
      <c r="E38" s="987"/>
      <c r="F38" s="1636"/>
      <c r="G38" s="1636"/>
      <c r="H38" s="351"/>
      <c r="N38" s="1641"/>
      <c r="O38" s="1366"/>
      <c r="Q38" s="1366"/>
      <c r="R38" s="1636"/>
      <c r="S38" s="1636"/>
      <c r="T38" s="1366"/>
      <c r="U38" s="1366"/>
      <c r="V38" s="1366"/>
      <c r="W38" s="1366"/>
      <c r="X38" s="1636"/>
      <c r="Y38" s="1366"/>
      <c r="Z38" s="1366"/>
      <c r="AA38" s="544"/>
      <c r="AB38" s="1366"/>
      <c r="AC38" s="1366"/>
      <c r="AD38" s="1366"/>
      <c r="AE38" s="1366"/>
      <c r="AF38" s="1366"/>
      <c r="AG38" s="1632"/>
      <c r="AH38" s="622"/>
      <c r="AI38" s="622"/>
      <c r="AJ38" s="622"/>
      <c r="AK38" s="622"/>
      <c r="AL38" s="1641">
        <v>11</v>
      </c>
    </row>
    <row s="1641" customFormat="1" customHeight="1" ht="11.549999999999999">
      <c r="A39" s="987"/>
      <c r="B39" s="987"/>
      <c r="C39" s="987"/>
      <c r="D39" s="987"/>
      <c r="E39" s="987"/>
      <c r="F39" s="1636"/>
      <c r="G39" s="1636"/>
      <c r="H39" s="351"/>
      <c r="N39" s="1641"/>
      <c r="O39" s="1366"/>
      <c r="Q39" s="1366"/>
      <c r="R39" s="1636"/>
      <c r="S39" s="1636"/>
      <c r="T39" s="1366"/>
      <c r="U39" s="1366"/>
      <c r="V39" s="1366"/>
      <c r="W39" s="1366"/>
      <c r="X39" s="1636"/>
      <c r="Y39" s="1366"/>
      <c r="Z39" s="1366"/>
      <c r="AA39" s="544"/>
      <c r="AB39" s="1366"/>
      <c r="AC39" s="1366"/>
      <c r="AD39" s="1366"/>
      <c r="AE39" s="1366"/>
      <c r="AF39" s="1366"/>
      <c r="AG39" s="1632"/>
      <c r="AH39" s="622"/>
      <c r="AI39" s="622"/>
      <c r="AJ39" s="622"/>
      <c r="AK39" s="622"/>
      <c r="AL39" s="1641">
        <v>11</v>
      </c>
    </row>
    <row s="1641" customFormat="1" customHeight="1" ht="11.549999999999999">
      <c r="A40" s="987"/>
      <c r="B40" s="987"/>
      <c r="C40" s="987"/>
      <c r="D40" s="987"/>
      <c r="E40" s="987"/>
      <c r="F40" s="1636"/>
      <c r="G40" s="1636"/>
      <c r="H40" s="351"/>
      <c r="N40" s="1641"/>
      <c r="O40" s="1366"/>
      <c r="Q40" s="1366"/>
      <c r="R40" s="1636"/>
      <c r="S40" s="1636"/>
      <c r="T40" s="1366"/>
      <c r="U40" s="1366"/>
      <c r="V40" s="1366"/>
      <c r="W40" s="1366"/>
      <c r="X40" s="1636"/>
      <c r="Y40" s="1366"/>
      <c r="Z40" s="1366"/>
      <c r="AA40" s="544"/>
      <c r="AB40" s="1366"/>
      <c r="AC40" s="1366"/>
      <c r="AD40" s="1366"/>
      <c r="AE40" s="1366"/>
      <c r="AF40" s="1366"/>
      <c r="AG40" s="1632"/>
      <c r="AH40" s="622"/>
      <c r="AI40" s="622"/>
      <c r="AJ40" s="622"/>
      <c r="AK40" s="622"/>
      <c r="AL40" s="1641">
        <v>11</v>
      </c>
    </row>
    <row s="1641" customFormat="1" customHeight="1" ht="11.549999999999999">
      <c r="A41" s="987"/>
      <c r="B41" s="987"/>
      <c r="C41" s="987"/>
      <c r="D41" s="987"/>
      <c r="E41" s="987"/>
      <c r="F41" s="1636"/>
      <c r="G41" s="1636"/>
      <c r="H41" s="351"/>
      <c r="N41" s="1641"/>
      <c r="O41" s="1366"/>
      <c r="Q41" s="1366"/>
      <c r="R41" s="1636"/>
      <c r="S41" s="1636"/>
      <c r="T41" s="1366"/>
      <c r="U41" s="1366"/>
      <c r="V41" s="1366"/>
      <c r="W41" s="1366"/>
      <c r="X41" s="1636"/>
      <c r="Y41" s="1366"/>
      <c r="Z41" s="1366"/>
      <c r="AA41" s="544"/>
      <c r="AB41" s="1366"/>
      <c r="AC41" s="1366"/>
      <c r="AD41" s="1366"/>
      <c r="AE41" s="1366"/>
      <c r="AF41" s="1366"/>
      <c r="AG41" s="1632"/>
      <c r="AH41" s="622"/>
      <c r="AI41" s="622"/>
      <c r="AJ41" s="622"/>
      <c r="AK41" s="622"/>
      <c r="AL41" s="1641">
        <v>11</v>
      </c>
    </row>
    <row s="1641" customFormat="1" customHeight="1" ht="11.549999999999999">
      <c r="A42" s="987"/>
      <c r="B42" s="987"/>
      <c r="C42" s="987"/>
      <c r="D42" s="987"/>
      <c r="E42" s="987"/>
      <c r="F42" s="1636"/>
      <c r="G42" s="1636"/>
      <c r="H42" s="351"/>
      <c r="N42" s="1641"/>
      <c r="O42" s="1366"/>
      <c r="Q42" s="1366"/>
      <c r="R42" s="1636"/>
      <c r="S42" s="1636"/>
      <c r="T42" s="1366"/>
      <c r="U42" s="1366"/>
      <c r="V42" s="1366"/>
      <c r="W42" s="1366"/>
      <c r="X42" s="1636"/>
      <c r="Y42" s="1366"/>
      <c r="Z42" s="1366"/>
      <c r="AA42" s="544"/>
      <c r="AB42" s="1366"/>
      <c r="AC42" s="1366"/>
      <c r="AD42" s="1366"/>
      <c r="AE42" s="1366"/>
      <c r="AF42" s="1366"/>
      <c r="AG42" s="1632"/>
      <c r="AH42" s="622"/>
      <c r="AI42" s="622"/>
      <c r="AJ42" s="622"/>
      <c r="AK42" s="622"/>
      <c r="AL42" s="1641">
        <v>11</v>
      </c>
    </row>
    <row s="1641" customFormat="1" customHeight="1" ht="11.549999999999999">
      <c r="A43" s="987"/>
      <c r="B43" s="987"/>
      <c r="C43" s="987"/>
      <c r="D43" s="987"/>
      <c r="E43" s="987"/>
      <c r="F43" s="1636"/>
      <c r="G43" s="1636"/>
      <c r="H43" s="351"/>
      <c r="N43" s="1641"/>
      <c r="O43" s="1366"/>
      <c r="Q43" s="1366"/>
      <c r="R43" s="1636"/>
      <c r="S43" s="1636"/>
      <c r="T43" s="1366"/>
      <c r="U43" s="1366"/>
      <c r="V43" s="1366"/>
      <c r="W43" s="1366"/>
      <c r="X43" s="1636"/>
      <c r="Y43" s="1366"/>
      <c r="Z43" s="1366"/>
      <c r="AA43" s="544"/>
      <c r="AB43" s="1366"/>
      <c r="AC43" s="1366"/>
      <c r="AD43" s="1366"/>
      <c r="AE43" s="1366"/>
      <c r="AF43" s="1366"/>
      <c r="AG43" s="1632"/>
      <c r="AH43" s="622"/>
      <c r="AI43" s="622"/>
      <c r="AJ43" s="622"/>
      <c r="AK43" s="622"/>
      <c r="AL43" s="1641">
        <v>11</v>
      </c>
    </row>
    <row s="1641" customFormat="1" customHeight="1" ht="11.549999999999999">
      <c r="A44" s="987"/>
      <c r="B44" s="987"/>
      <c r="C44" s="987"/>
      <c r="D44" s="987"/>
      <c r="E44" s="987"/>
      <c r="F44" s="1636"/>
      <c r="G44" s="1636"/>
      <c r="H44" s="351"/>
      <c r="N44" s="1641"/>
      <c r="O44" s="1366"/>
      <c r="Q44" s="1366"/>
      <c r="R44" s="1636"/>
      <c r="S44" s="1636"/>
      <c r="T44" s="1366"/>
      <c r="U44" s="1366"/>
      <c r="V44" s="1366"/>
      <c r="W44" s="1366"/>
      <c r="X44" s="1636"/>
      <c r="Y44" s="1366"/>
      <c r="Z44" s="1366"/>
      <c r="AA44" s="544"/>
      <c r="AB44" s="1366"/>
      <c r="AC44" s="1366"/>
      <c r="AD44" s="1366"/>
      <c r="AE44" s="1366"/>
      <c r="AF44" s="1366"/>
      <c r="AG44" s="1632"/>
      <c r="AH44" s="622"/>
      <c r="AI44" s="622"/>
      <c r="AJ44" s="622"/>
      <c r="AK44" s="622"/>
      <c r="AL44" s="1641">
        <v>11</v>
      </c>
    </row>
    <row s="1641" customFormat="1" customHeight="1" ht="11.549999999999999">
      <c r="A45" s="987"/>
      <c r="B45" s="987"/>
      <c r="C45" s="987"/>
      <c r="D45" s="987"/>
      <c r="E45" s="987"/>
      <c r="F45" s="1636"/>
      <c r="G45" s="1636"/>
      <c r="H45" s="351"/>
      <c r="N45" s="1641"/>
      <c r="O45" s="1366"/>
      <c r="Q45" s="1366"/>
      <c r="R45" s="1636"/>
      <c r="S45" s="1636"/>
      <c r="T45" s="1366"/>
      <c r="U45" s="1366"/>
      <c r="V45" s="1366"/>
      <c r="W45" s="1366"/>
      <c r="X45" s="1636"/>
      <c r="Y45" s="1366"/>
      <c r="Z45" s="1366"/>
      <c r="AA45" s="544"/>
      <c r="AB45" s="1366"/>
      <c r="AC45" s="1366"/>
      <c r="AD45" s="1366"/>
      <c r="AE45" s="1366"/>
      <c r="AF45" s="1366"/>
      <c r="AG45" s="1632"/>
      <c r="AH45" s="622"/>
      <c r="AI45" s="622"/>
      <c r="AJ45" s="622"/>
      <c r="AK45" s="622"/>
      <c r="AL45" s="1641">
        <v>11</v>
      </c>
    </row>
    <row s="1641" customFormat="1" customHeight="1" ht="11.549999999999999">
      <c r="A46" s="987"/>
      <c r="B46" s="987"/>
      <c r="C46" s="987"/>
      <c r="D46" s="987"/>
      <c r="E46" s="987"/>
      <c r="F46" s="1636"/>
      <c r="G46" s="1636"/>
      <c r="H46" s="351"/>
      <c r="N46" s="1641"/>
      <c r="O46" s="1366"/>
      <c r="Q46" s="1366"/>
      <c r="R46" s="1636"/>
      <c r="S46" s="1636"/>
      <c r="T46" s="1366"/>
      <c r="U46" s="1366"/>
      <c r="V46" s="1366"/>
      <c r="W46" s="1366"/>
      <c r="X46" s="1636"/>
      <c r="Y46" s="1366"/>
      <c r="Z46" s="1366"/>
      <c r="AA46" s="544"/>
      <c r="AB46" s="1366"/>
      <c r="AC46" s="1366"/>
      <c r="AD46" s="1366"/>
      <c r="AE46" s="1366"/>
      <c r="AF46" s="1366"/>
      <c r="AG46" s="1632"/>
      <c r="AH46" s="622"/>
      <c r="AI46" s="622"/>
      <c r="AJ46" s="622"/>
      <c r="AK46" s="622"/>
      <c r="AL46" s="1641">
        <v>11</v>
      </c>
    </row>
    <row s="1641" customFormat="1" customHeight="1" ht="11.549999999999999">
      <c r="A47" s="987"/>
      <c r="B47" s="987"/>
      <c r="C47" s="987"/>
      <c r="D47" s="987"/>
      <c r="E47" s="987"/>
      <c r="F47" s="1636"/>
      <c r="G47" s="1636"/>
      <c r="H47" s="351"/>
      <c r="N47" s="1641"/>
      <c r="O47" s="1366"/>
      <c r="Q47" s="1366"/>
      <c r="R47" s="1636"/>
      <c r="S47" s="1636"/>
      <c r="T47" s="1366"/>
      <c r="U47" s="1366"/>
      <c r="V47" s="1366"/>
      <c r="W47" s="1366"/>
      <c r="X47" s="1636"/>
      <c r="Y47" s="1366"/>
      <c r="Z47" s="1366"/>
      <c r="AA47" s="544"/>
      <c r="AB47" s="1366"/>
      <c r="AC47" s="1366"/>
      <c r="AD47" s="1366"/>
      <c r="AE47" s="1366"/>
      <c r="AF47" s="1366"/>
      <c r="AG47" s="1632"/>
      <c r="AH47" s="622"/>
      <c r="AI47" s="622"/>
      <c r="AJ47" s="622"/>
      <c r="AK47" s="622"/>
      <c r="AL47" s="1641">
        <v>11</v>
      </c>
    </row>
    <row s="1641" customFormat="1" customHeight="1" ht="11.549999999999999">
      <c r="A48" s="987"/>
      <c r="B48" s="987"/>
      <c r="C48" s="987"/>
      <c r="D48" s="987"/>
      <c r="E48" s="987"/>
      <c r="F48" s="1636"/>
      <c r="G48" s="1636"/>
      <c r="H48" s="351"/>
      <c r="N48" s="1641"/>
      <c r="O48" s="1366"/>
      <c r="Q48" s="1366"/>
      <c r="R48" s="1636"/>
      <c r="S48" s="1636"/>
      <c r="T48" s="1366"/>
      <c r="U48" s="1366"/>
      <c r="V48" s="1366"/>
      <c r="W48" s="1366"/>
      <c r="X48" s="1636"/>
      <c r="Y48" s="1366"/>
      <c r="Z48" s="1366"/>
      <c r="AA48" s="544"/>
      <c r="AB48" s="1366"/>
      <c r="AC48" s="1366"/>
      <c r="AD48" s="1366"/>
      <c r="AE48" s="1366"/>
      <c r="AF48" s="1366"/>
      <c r="AG48" s="1632"/>
      <c r="AH48" s="622"/>
      <c r="AI48" s="622"/>
      <c r="AJ48" s="622"/>
      <c r="AK48" s="622"/>
      <c r="AL48" s="1641">
        <v>11</v>
      </c>
    </row>
    <row s="1641" customFormat="1" customHeight="1" ht="11.549999999999999">
      <c r="A49" s="987"/>
      <c r="B49" s="987"/>
      <c r="C49" s="987"/>
      <c r="D49" s="987"/>
      <c r="E49" s="987"/>
      <c r="F49" s="1636"/>
      <c r="G49" s="1636"/>
      <c r="H49" s="351"/>
      <c r="N49" s="1641"/>
      <c r="O49" s="1366"/>
      <c r="Q49" s="1366"/>
      <c r="R49" s="1636"/>
      <c r="S49" s="1636"/>
      <c r="T49" s="1366"/>
      <c r="U49" s="1366"/>
      <c r="V49" s="1366"/>
      <c r="W49" s="1366"/>
      <c r="X49" s="1636"/>
      <c r="Y49" s="1366"/>
      <c r="Z49" s="1366"/>
      <c r="AA49" s="544"/>
      <c r="AB49" s="1366"/>
      <c r="AC49" s="1366"/>
      <c r="AD49" s="1366"/>
      <c r="AE49" s="1366"/>
      <c r="AF49" s="1366"/>
      <c r="AG49" s="1632"/>
      <c r="AH49" s="622"/>
      <c r="AI49" s="622"/>
      <c r="AJ49" s="622"/>
      <c r="AK49" s="622"/>
      <c r="AL49" s="1641">
        <v>11</v>
      </c>
    </row>
    <row s="1641" customFormat="1" customHeight="1" ht="11.549999999999999">
      <c r="A50" s="987"/>
      <c r="B50" s="987"/>
      <c r="C50" s="987"/>
      <c r="D50" s="987"/>
      <c r="E50" s="987"/>
      <c r="F50" s="1636"/>
      <c r="G50" s="1636"/>
      <c r="H50" s="351"/>
      <c r="N50" s="1641"/>
      <c r="O50" s="1366"/>
      <c r="Q50" s="1366"/>
      <c r="R50" s="1636"/>
      <c r="S50" s="1636"/>
      <c r="T50" s="1366"/>
      <c r="U50" s="1366"/>
      <c r="V50" s="1366"/>
      <c r="W50" s="1366"/>
      <c r="X50" s="1636"/>
      <c r="Y50" s="1366"/>
      <c r="Z50" s="1366"/>
      <c r="AA50" s="544"/>
      <c r="AB50" s="1366"/>
      <c r="AC50" s="1366"/>
      <c r="AD50" s="1366"/>
      <c r="AE50" s="1366"/>
      <c r="AF50" s="1366"/>
      <c r="AG50" s="1632"/>
      <c r="AH50" s="622"/>
      <c r="AI50" s="622"/>
      <c r="AJ50" s="622"/>
      <c r="AK50" s="622"/>
      <c r="AL50" s="1641">
        <v>11</v>
      </c>
    </row>
    <row s="1641" customFormat="1" customHeight="1" ht="11.549999999999999">
      <c r="A51" s="987"/>
      <c r="B51" s="987"/>
      <c r="C51" s="987"/>
      <c r="D51" s="987"/>
      <c r="E51" s="987"/>
      <c r="F51" s="1636"/>
      <c r="G51" s="1636"/>
      <c r="H51" s="351"/>
      <c r="N51" s="1641"/>
      <c r="O51" s="1366"/>
      <c r="Q51" s="1366"/>
      <c r="R51" s="1636"/>
      <c r="S51" s="1636"/>
      <c r="T51" s="1366"/>
      <c r="U51" s="1366"/>
      <c r="V51" s="1366"/>
      <c r="W51" s="1366"/>
      <c r="X51" s="1636"/>
      <c r="Y51" s="1366"/>
      <c r="Z51" s="1366"/>
      <c r="AA51" s="544"/>
      <c r="AB51" s="1366"/>
      <c r="AC51" s="1366"/>
      <c r="AD51" s="1366"/>
      <c r="AE51" s="1366"/>
      <c r="AF51" s="1366"/>
      <c r="AG51" s="1632"/>
      <c r="AH51" s="622"/>
      <c r="AI51" s="622"/>
      <c r="AJ51" s="622"/>
      <c r="AK51" s="622"/>
      <c r="AL51" s="1641">
        <v>11</v>
      </c>
    </row>
    <row s="1641" customFormat="1" customHeight="1" ht="11.549999999999999">
      <c r="A52" s="987"/>
      <c r="B52" s="987"/>
      <c r="C52" s="987"/>
      <c r="D52" s="987"/>
      <c r="E52" s="987"/>
      <c r="F52" s="1636"/>
      <c r="G52" s="1636"/>
      <c r="H52" s="351"/>
      <c r="N52" s="1641"/>
      <c r="O52" s="1366"/>
      <c r="Q52" s="1366"/>
      <c r="R52" s="1636"/>
      <c r="S52" s="1636"/>
      <c r="T52" s="1366"/>
      <c r="U52" s="1366"/>
      <c r="V52" s="1366"/>
      <c r="W52" s="1366"/>
      <c r="X52" s="1636"/>
      <c r="Y52" s="1366"/>
      <c r="Z52" s="1366"/>
      <c r="AA52" s="544"/>
      <c r="AB52" s="1366"/>
      <c r="AC52" s="1366"/>
      <c r="AD52" s="1366"/>
      <c r="AE52" s="1366"/>
      <c r="AF52" s="1366"/>
      <c r="AG52" s="1632"/>
      <c r="AH52" s="622"/>
      <c r="AI52" s="622"/>
      <c r="AJ52" s="622"/>
      <c r="AK52" s="622"/>
      <c r="AL52" s="1641">
        <v>11</v>
      </c>
    </row>
    <row s="1641" customFormat="1" customHeight="1" ht="11.549999999999999">
      <c r="A53" s="987"/>
      <c r="B53" s="987"/>
      <c r="C53" s="987"/>
      <c r="D53" s="987"/>
      <c r="E53" s="987"/>
      <c r="F53" s="1636"/>
      <c r="G53" s="1636"/>
      <c r="H53" s="351"/>
      <c r="N53" s="1641"/>
      <c r="O53" s="1366"/>
      <c r="Q53" s="1366"/>
      <c r="R53" s="1636"/>
      <c r="S53" s="1636"/>
      <c r="T53" s="1366"/>
      <c r="U53" s="1366"/>
      <c r="V53" s="1366"/>
      <c r="W53" s="1366"/>
      <c r="X53" s="1636"/>
      <c r="Y53" s="1366"/>
      <c r="Z53" s="1366"/>
      <c r="AA53" s="544"/>
      <c r="AB53" s="1366"/>
      <c r="AC53" s="1366"/>
      <c r="AD53" s="1366"/>
      <c r="AE53" s="1366"/>
      <c r="AF53" s="1366"/>
      <c r="AG53" s="1632"/>
      <c r="AH53" s="622"/>
      <c r="AI53" s="622"/>
      <c r="AJ53" s="622"/>
      <c r="AK53" s="622"/>
      <c r="AL53" s="1641">
        <v>11</v>
      </c>
    </row>
    <row s="1641" customFormat="1" customHeight="1" ht="11.549999999999999">
      <c r="A54" s="987"/>
      <c r="B54" s="987"/>
      <c r="C54" s="987"/>
      <c r="D54" s="987"/>
      <c r="E54" s="987"/>
      <c r="F54" s="1636"/>
      <c r="G54" s="1636"/>
      <c r="H54" s="351"/>
      <c r="N54" s="1641"/>
      <c r="O54" s="1366"/>
      <c r="Q54" s="1366"/>
      <c r="R54" s="1636"/>
      <c r="S54" s="1636"/>
      <c r="T54" s="1366"/>
      <c r="U54" s="1366"/>
      <c r="V54" s="1366"/>
      <c r="W54" s="1366"/>
      <c r="X54" s="1636"/>
      <c r="Y54" s="1366"/>
      <c r="Z54" s="1366"/>
      <c r="AA54" s="544"/>
      <c r="AB54" s="1366"/>
      <c r="AC54" s="1366"/>
      <c r="AD54" s="1366"/>
      <c r="AE54" s="1366"/>
      <c r="AF54" s="1366"/>
      <c r="AG54" s="1632"/>
      <c r="AH54" s="622"/>
      <c r="AI54" s="622"/>
      <c r="AJ54" s="622"/>
      <c r="AK54" s="622"/>
      <c r="AL54" s="1641">
        <v>11</v>
      </c>
    </row>
    <row s="1641" customFormat="1" customHeight="1" ht="11.549999999999999">
      <c r="A55" s="987"/>
      <c r="B55" s="987"/>
      <c r="C55" s="987"/>
      <c r="D55" s="987"/>
      <c r="E55" s="987"/>
      <c r="F55" s="1636"/>
      <c r="G55" s="1636"/>
      <c r="H55" s="351"/>
      <c r="N55" s="1641"/>
      <c r="O55" s="1366"/>
      <c r="Q55" s="1366"/>
      <c r="R55" s="1636"/>
      <c r="S55" s="1636"/>
      <c r="T55" s="1366"/>
      <c r="U55" s="1366"/>
      <c r="V55" s="1366"/>
      <c r="W55" s="1366"/>
      <c r="X55" s="1636"/>
      <c r="Y55" s="1366"/>
      <c r="Z55" s="1366"/>
      <c r="AA55" s="544"/>
      <c r="AB55" s="1366"/>
      <c r="AC55" s="1366"/>
      <c r="AD55" s="1366"/>
      <c r="AE55" s="1366"/>
      <c r="AF55" s="1366"/>
      <c r="AG55" s="1632"/>
      <c r="AH55" s="622"/>
      <c r="AI55" s="622"/>
      <c r="AJ55" s="622"/>
      <c r="AK55" s="622"/>
      <c r="AL55" s="1641">
        <v>11</v>
      </c>
    </row>
    <row s="1641" customFormat="1" customHeight="1" ht="11.549999999999999">
      <c r="A56" s="987"/>
      <c r="B56" s="987"/>
      <c r="C56" s="987"/>
      <c r="D56" s="987"/>
      <c r="E56" s="987"/>
      <c r="F56" s="1636"/>
      <c r="G56" s="1636"/>
      <c r="H56" s="351"/>
      <c r="N56" s="1641"/>
      <c r="O56" s="1366"/>
      <c r="Q56" s="1366"/>
      <c r="R56" s="1636"/>
      <c r="S56" s="1636"/>
      <c r="T56" s="1366"/>
      <c r="U56" s="1366"/>
      <c r="V56" s="1366"/>
      <c r="W56" s="1366"/>
      <c r="X56" s="1636"/>
      <c r="Y56" s="1366"/>
      <c r="Z56" s="1366"/>
      <c r="AA56" s="544"/>
      <c r="AB56" s="1366"/>
      <c r="AC56" s="1366"/>
      <c r="AD56" s="1366"/>
      <c r="AE56" s="1366"/>
      <c r="AF56" s="1366"/>
      <c r="AG56" s="1632"/>
      <c r="AH56" s="622"/>
      <c r="AI56" s="622"/>
      <c r="AJ56" s="622"/>
      <c r="AK56" s="622"/>
      <c r="AL56" s="1641">
        <v>11</v>
      </c>
    </row>
    <row s="1641" customFormat="1" customHeight="1" ht="11.549999999999999">
      <c r="A57" s="987"/>
      <c r="B57" s="987"/>
      <c r="C57" s="987"/>
      <c r="D57" s="987"/>
      <c r="E57" s="987"/>
      <c r="F57" s="1636"/>
      <c r="G57" s="1636"/>
      <c r="H57" s="351"/>
      <c r="N57" s="1641"/>
      <c r="O57" s="1366"/>
      <c r="Q57" s="1366"/>
      <c r="R57" s="1636"/>
      <c r="S57" s="1636"/>
      <c r="T57" s="1366"/>
      <c r="U57" s="1366"/>
      <c r="V57" s="1366"/>
      <c r="W57" s="1366"/>
      <c r="X57" s="1636"/>
      <c r="Y57" s="1366"/>
      <c r="Z57" s="1366"/>
      <c r="AA57" s="544"/>
      <c r="AB57" s="1366"/>
      <c r="AC57" s="1366"/>
      <c r="AD57" s="1366"/>
      <c r="AE57" s="1366"/>
      <c r="AF57" s="1366"/>
      <c r="AG57" s="1632"/>
      <c r="AH57" s="622"/>
      <c r="AI57" s="622"/>
      <c r="AJ57" s="622"/>
      <c r="AK57" s="622"/>
      <c r="AL57" s="1641">
        <v>11</v>
      </c>
    </row>
    <row s="1641" customFormat="1" customHeight="1" ht="11.549999999999999">
      <c r="A58" s="987"/>
      <c r="B58" s="987"/>
      <c r="C58" s="987"/>
      <c r="D58" s="987"/>
      <c r="E58" s="987"/>
      <c r="F58" s="1636"/>
      <c r="G58" s="1636"/>
      <c r="H58" s="351"/>
      <c r="N58" s="1641"/>
      <c r="O58" s="1366"/>
      <c r="Q58" s="1366"/>
      <c r="R58" s="1636"/>
      <c r="S58" s="1636"/>
      <c r="T58" s="1366"/>
      <c r="U58" s="1366"/>
      <c r="V58" s="1366"/>
      <c r="W58" s="1366"/>
      <c r="X58" s="1636"/>
      <c r="Y58" s="1366"/>
      <c r="Z58" s="1366"/>
      <c r="AA58" s="544"/>
      <c r="AB58" s="1366"/>
      <c r="AC58" s="1366"/>
      <c r="AD58" s="1366"/>
      <c r="AE58" s="1366"/>
      <c r="AF58" s="1366"/>
      <c r="AG58" s="1632"/>
      <c r="AH58" s="622"/>
      <c r="AI58" s="622"/>
      <c r="AJ58" s="622"/>
      <c r="AK58" s="622"/>
      <c r="AL58" s="1641">
        <v>11</v>
      </c>
    </row>
    <row s="1641" customFormat="1" customHeight="1" ht="11.549999999999999">
      <c r="A59" s="987"/>
      <c r="B59" s="987"/>
      <c r="C59" s="987"/>
      <c r="D59" s="987"/>
      <c r="E59" s="987"/>
      <c r="F59" s="1636"/>
      <c r="G59" s="1636"/>
      <c r="H59" s="351"/>
      <c r="N59" s="1641"/>
      <c r="O59" s="1366"/>
      <c r="Q59" s="1366"/>
      <c r="R59" s="1636"/>
      <c r="S59" s="1636"/>
      <c r="T59" s="1366"/>
      <c r="U59" s="1366"/>
      <c r="V59" s="1366"/>
      <c r="W59" s="1366"/>
      <c r="X59" s="1636"/>
      <c r="Y59" s="1366"/>
      <c r="Z59" s="1366"/>
      <c r="AA59" s="544"/>
      <c r="AB59" s="1366"/>
      <c r="AC59" s="1366"/>
      <c r="AD59" s="1366"/>
      <c r="AE59" s="1366"/>
      <c r="AF59" s="1366"/>
      <c r="AG59" s="1632"/>
      <c r="AH59" s="622"/>
      <c r="AI59" s="622"/>
      <c r="AJ59" s="622"/>
      <c r="AK59" s="622"/>
      <c r="AL59" s="1641">
        <v>11</v>
      </c>
    </row>
    <row s="1641" customFormat="1" customHeight="1" ht="11.549999999999999">
      <c r="A60" s="987"/>
      <c r="B60" s="987"/>
      <c r="C60" s="987"/>
      <c r="D60" s="987"/>
      <c r="E60" s="987"/>
      <c r="F60" s="1636"/>
      <c r="G60" s="1636"/>
      <c r="H60" s="351"/>
      <c r="N60" s="1641"/>
      <c r="O60" s="1366"/>
      <c r="Q60" s="1366"/>
      <c r="R60" s="1636"/>
      <c r="S60" s="1636"/>
      <c r="T60" s="1366"/>
      <c r="U60" s="1366"/>
      <c r="V60" s="1366"/>
      <c r="W60" s="1366"/>
      <c r="X60" s="1636"/>
      <c r="Y60" s="1366"/>
      <c r="Z60" s="1366"/>
      <c r="AA60" s="544"/>
      <c r="AB60" s="1366"/>
      <c r="AC60" s="1366"/>
      <c r="AD60" s="1366"/>
      <c r="AE60" s="1366"/>
      <c r="AF60" s="1366"/>
      <c r="AG60" s="1632"/>
      <c r="AH60" s="622"/>
      <c r="AI60" s="622"/>
      <c r="AJ60" s="622"/>
      <c r="AK60" s="622"/>
      <c r="AL60" s="1641">
        <v>11</v>
      </c>
    </row>
    <row s="1641" customFormat="1" customHeight="1" ht="11.549999999999999">
      <c r="A61" s="987"/>
      <c r="B61" s="987"/>
      <c r="C61" s="987"/>
      <c r="D61" s="987"/>
      <c r="E61" s="987"/>
      <c r="F61" s="1636"/>
      <c r="G61" s="1636"/>
      <c r="H61" s="351"/>
      <c r="N61" s="1641"/>
      <c r="O61" s="1366"/>
      <c r="Q61" s="1366"/>
      <c r="R61" s="1636"/>
      <c r="S61" s="1636"/>
      <c r="T61" s="1366"/>
      <c r="U61" s="1366"/>
      <c r="V61" s="1366"/>
      <c r="W61" s="1366"/>
      <c r="X61" s="1636"/>
      <c r="Y61" s="1366"/>
      <c r="Z61" s="1366"/>
      <c r="AA61" s="544"/>
      <c r="AB61" s="1366"/>
      <c r="AC61" s="1366"/>
      <c r="AD61" s="1366"/>
      <c r="AE61" s="1366"/>
      <c r="AF61" s="1366"/>
      <c r="AG61" s="1632"/>
      <c r="AH61" s="622"/>
      <c r="AI61" s="622"/>
      <c r="AJ61" s="622"/>
      <c r="AK61" s="622"/>
      <c r="AL61" s="1641">
        <v>11</v>
      </c>
    </row>
    <row s="1641" customFormat="1" customHeight="1" ht="11.549999999999999">
      <c r="A62" s="987"/>
      <c r="B62" s="987"/>
      <c r="C62" s="987"/>
      <c r="D62" s="987"/>
      <c r="E62" s="987"/>
      <c r="F62" s="1636"/>
      <c r="G62" s="1636"/>
      <c r="H62" s="351"/>
      <c r="N62" s="1641"/>
      <c r="O62" s="1366"/>
      <c r="Q62" s="1366"/>
      <c r="R62" s="1636"/>
      <c r="S62" s="1636"/>
      <c r="T62" s="1366"/>
      <c r="U62" s="1366"/>
      <c r="V62" s="1366"/>
      <c r="W62" s="1366"/>
      <c r="X62" s="1636"/>
      <c r="Y62" s="1366"/>
      <c r="Z62" s="1366"/>
      <c r="AA62" s="544"/>
      <c r="AB62" s="1366"/>
      <c r="AC62" s="1366"/>
      <c r="AD62" s="1366"/>
      <c r="AE62" s="1366"/>
      <c r="AF62" s="1366"/>
      <c r="AG62" s="1632"/>
      <c r="AH62" s="622"/>
      <c r="AI62" s="622"/>
      <c r="AJ62" s="622"/>
      <c r="AK62" s="622"/>
      <c r="AL62" s="1641">
        <v>11</v>
      </c>
    </row>
    <row s="1641" customFormat="1" customHeight="1" ht="11.549999999999999">
      <c r="A63" s="987"/>
      <c r="B63" s="987"/>
      <c r="C63" s="987"/>
      <c r="D63" s="987"/>
      <c r="E63" s="987"/>
      <c r="F63" s="1636"/>
      <c r="G63" s="1636"/>
      <c r="H63" s="351"/>
      <c r="N63" s="1641"/>
      <c r="O63" s="1366"/>
      <c r="Q63" s="1366"/>
      <c r="R63" s="1636"/>
      <c r="S63" s="1636"/>
      <c r="T63" s="1366"/>
      <c r="U63" s="1366"/>
      <c r="V63" s="1366"/>
      <c r="W63" s="1366"/>
      <c r="X63" s="1636"/>
      <c r="Y63" s="1366"/>
      <c r="Z63" s="1366"/>
      <c r="AA63" s="544"/>
      <c r="AB63" s="1366"/>
      <c r="AC63" s="1366"/>
      <c r="AD63" s="1366"/>
      <c r="AE63" s="1366"/>
      <c r="AF63" s="1366"/>
      <c r="AG63" s="1632"/>
      <c r="AH63" s="622"/>
      <c r="AI63" s="622"/>
      <c r="AJ63" s="622"/>
      <c r="AK63" s="622"/>
      <c r="AL63" s="1641">
        <v>11</v>
      </c>
    </row>
    <row s="1641" customFormat="1" customHeight="1" ht="11.549999999999999">
      <c r="A64" s="987"/>
      <c r="B64" s="987"/>
      <c r="C64" s="987"/>
      <c r="D64" s="987"/>
      <c r="E64" s="987"/>
      <c r="F64" s="1636"/>
      <c r="G64" s="1636"/>
      <c r="H64" s="351"/>
      <c r="N64" s="1641"/>
      <c r="O64" s="1366"/>
      <c r="Q64" s="1366"/>
      <c r="R64" s="1636"/>
      <c r="S64" s="1636"/>
      <c r="T64" s="1366"/>
      <c r="U64" s="1366"/>
      <c r="V64" s="1366"/>
      <c r="W64" s="1366"/>
      <c r="X64" s="1636"/>
      <c r="Y64" s="1366"/>
      <c r="Z64" s="1366"/>
      <c r="AA64" s="544"/>
      <c r="AB64" s="1366"/>
      <c r="AC64" s="1366"/>
      <c r="AD64" s="1366"/>
      <c r="AE64" s="1366"/>
      <c r="AF64" s="1366"/>
      <c r="AG64" s="1632"/>
      <c r="AH64" s="622"/>
      <c r="AI64" s="622"/>
      <c r="AJ64" s="622"/>
      <c r="AK64" s="622"/>
      <c r="AL64" s="1641">
        <v>11</v>
      </c>
    </row>
    <row s="1641" customFormat="1" customHeight="1" ht="11.549999999999999">
      <c r="A65" s="987"/>
      <c r="B65" s="987"/>
      <c r="C65" s="987"/>
      <c r="D65" s="987"/>
      <c r="E65" s="987"/>
      <c r="F65" s="1636"/>
      <c r="G65" s="1636"/>
      <c r="H65" s="351"/>
      <c r="N65" s="1641"/>
      <c r="O65" s="1366"/>
      <c r="Q65" s="1366"/>
      <c r="R65" s="1636"/>
      <c r="S65" s="1636"/>
      <c r="T65" s="1366"/>
      <c r="U65" s="1366"/>
      <c r="V65" s="1366"/>
      <c r="W65" s="1366"/>
      <c r="X65" s="1636"/>
      <c r="Y65" s="1366"/>
      <c r="Z65" s="1366"/>
      <c r="AA65" s="544"/>
      <c r="AB65" s="1366"/>
      <c r="AC65" s="1366"/>
      <c r="AD65" s="1366"/>
      <c r="AE65" s="1366"/>
      <c r="AF65" s="1366"/>
      <c r="AG65" s="1632"/>
      <c r="AH65" s="622"/>
      <c r="AI65" s="622"/>
      <c r="AJ65" s="622"/>
      <c r="AK65" s="622"/>
      <c r="AL65" s="1641">
        <v>11</v>
      </c>
    </row>
    <row s="1641" customFormat="1" customHeight="1" ht="11.549999999999999">
      <c r="A66" s="987"/>
      <c r="B66" s="987"/>
      <c r="C66" s="987"/>
      <c r="D66" s="987"/>
      <c r="E66" s="987"/>
      <c r="F66" s="1636"/>
      <c r="G66" s="1636"/>
      <c r="H66" s="351"/>
      <c r="N66" s="1641"/>
      <c r="O66" s="1366"/>
      <c r="Q66" s="1366"/>
      <c r="R66" s="1636"/>
      <c r="S66" s="1636"/>
      <c r="T66" s="1366"/>
      <c r="U66" s="1366"/>
      <c r="V66" s="1366"/>
      <c r="W66" s="1366"/>
      <c r="X66" s="1636"/>
      <c r="Y66" s="1366"/>
      <c r="Z66" s="1366"/>
      <c r="AA66" s="544"/>
      <c r="AB66" s="1366"/>
      <c r="AC66" s="1366"/>
      <c r="AD66" s="1366"/>
      <c r="AE66" s="1366"/>
      <c r="AF66" s="1366"/>
      <c r="AG66" s="1632"/>
      <c r="AH66" s="622"/>
      <c r="AI66" s="622"/>
      <c r="AJ66" s="622"/>
      <c r="AK66" s="622"/>
      <c r="AL66" s="1641">
        <v>11</v>
      </c>
    </row>
    <row s="1641" customFormat="1" customHeight="1" ht="11.549999999999999">
      <c r="A67" s="987"/>
      <c r="B67" s="987"/>
      <c r="C67" s="987"/>
      <c r="D67" s="987"/>
      <c r="E67" s="987"/>
      <c r="F67" s="1636"/>
      <c r="G67" s="1636"/>
      <c r="H67" s="351"/>
      <c r="N67" s="1641"/>
      <c r="O67" s="1366"/>
      <c r="Q67" s="1366"/>
      <c r="R67" s="1636"/>
      <c r="S67" s="1636"/>
      <c r="T67" s="1366"/>
      <c r="U67" s="1366"/>
      <c r="V67" s="1366"/>
      <c r="W67" s="1366"/>
      <c r="X67" s="1636"/>
      <c r="Y67" s="1366"/>
      <c r="Z67" s="1366"/>
      <c r="AA67" s="544"/>
      <c r="AB67" s="1366"/>
      <c r="AC67" s="1366"/>
      <c r="AD67" s="1366"/>
      <c r="AE67" s="1366"/>
      <c r="AF67" s="1366"/>
      <c r="AG67" s="1632"/>
      <c r="AH67" s="622"/>
      <c r="AI67" s="622"/>
      <c r="AJ67" s="622"/>
      <c r="AK67" s="622"/>
      <c r="AL67" s="1641">
        <v>11</v>
      </c>
    </row>
    <row s="1641" customFormat="1" customHeight="1" ht="11.549999999999999">
      <c r="A68" s="987"/>
      <c r="B68" s="987"/>
      <c r="C68" s="987"/>
      <c r="D68" s="987"/>
      <c r="E68" s="987"/>
      <c r="F68" s="1636"/>
      <c r="G68" s="1636"/>
      <c r="H68" s="351"/>
      <c r="N68" s="1641"/>
      <c r="O68" s="1366"/>
      <c r="Q68" s="1366"/>
      <c r="R68" s="1636"/>
      <c r="S68" s="1636"/>
      <c r="T68" s="1366"/>
      <c r="U68" s="1366"/>
      <c r="V68" s="1366"/>
      <c r="W68" s="1366"/>
      <c r="X68" s="1636"/>
      <c r="Y68" s="1366"/>
      <c r="Z68" s="1366"/>
      <c r="AA68" s="544"/>
      <c r="AB68" s="1366"/>
      <c r="AC68" s="1366"/>
      <c r="AD68" s="1366"/>
      <c r="AE68" s="1366"/>
      <c r="AF68" s="1366"/>
      <c r="AG68" s="1632"/>
      <c r="AH68" s="622"/>
      <c r="AI68" s="622"/>
      <c r="AJ68" s="622"/>
      <c r="AK68" s="622"/>
      <c r="AL68" s="1641">
        <v>11</v>
      </c>
    </row>
    <row s="1641" customFormat="1" customHeight="1" ht="11.549999999999999">
      <c r="A69" s="987"/>
      <c r="B69" s="987"/>
      <c r="C69" s="987"/>
      <c r="D69" s="987"/>
      <c r="E69" s="987"/>
      <c r="F69" s="1636"/>
      <c r="G69" s="1636"/>
      <c r="H69" s="351"/>
      <c r="N69" s="1641"/>
      <c r="O69" s="1366"/>
      <c r="Q69" s="1366"/>
      <c r="R69" s="1636"/>
      <c r="S69" s="1636"/>
      <c r="T69" s="1366"/>
      <c r="U69" s="1366"/>
      <c r="V69" s="1366"/>
      <c r="W69" s="1366"/>
      <c r="X69" s="1636"/>
      <c r="Y69" s="1366"/>
      <c r="Z69" s="1366"/>
      <c r="AA69" s="544"/>
      <c r="AB69" s="1366"/>
      <c r="AC69" s="1366"/>
      <c r="AD69" s="1366"/>
      <c r="AE69" s="1366"/>
      <c r="AF69" s="1366"/>
      <c r="AG69" s="1632"/>
      <c r="AH69" s="622"/>
      <c r="AI69" s="622"/>
      <c r="AJ69" s="622"/>
      <c r="AK69" s="622"/>
      <c r="AL69" s="1641">
        <v>11</v>
      </c>
    </row>
    <row s="1641" customFormat="1" customHeight="1" ht="11.549999999999999">
      <c r="A70" s="987"/>
      <c r="B70" s="987"/>
      <c r="C70" s="987"/>
      <c r="D70" s="987"/>
      <c r="E70" s="987"/>
      <c r="F70" s="1636"/>
      <c r="G70" s="1636"/>
      <c r="H70" s="351"/>
      <c r="N70" s="1641"/>
      <c r="O70" s="1366"/>
      <c r="Q70" s="1366"/>
      <c r="R70" s="1636"/>
      <c r="S70" s="1636"/>
      <c r="T70" s="1366"/>
      <c r="U70" s="1366"/>
      <c r="V70" s="1366"/>
      <c r="W70" s="1366"/>
      <c r="X70" s="1636"/>
      <c r="Y70" s="1366"/>
      <c r="Z70" s="1366"/>
      <c r="AA70" s="544"/>
      <c r="AB70" s="1366"/>
      <c r="AC70" s="1366"/>
      <c r="AD70" s="1366"/>
      <c r="AE70" s="1366"/>
      <c r="AF70" s="1366"/>
      <c r="AG70" s="1632"/>
      <c r="AH70" s="622"/>
      <c r="AI70" s="622"/>
      <c r="AJ70" s="622"/>
      <c r="AK70" s="622"/>
      <c r="AL70" s="1641">
        <v>11</v>
      </c>
    </row>
    <row s="1641" customFormat="1" customHeight="1" ht="11.549999999999999">
      <c r="A71" s="987"/>
      <c r="B71" s="987"/>
      <c r="C71" s="987"/>
      <c r="D71" s="987"/>
      <c r="E71" s="987"/>
      <c r="F71" s="1636"/>
      <c r="G71" s="1636"/>
      <c r="H71" s="351"/>
      <c r="N71" s="1641"/>
      <c r="O71" s="1366"/>
      <c r="Q71" s="1366"/>
      <c r="R71" s="1636"/>
      <c r="S71" s="1636"/>
      <c r="T71" s="1366"/>
      <c r="U71" s="1366"/>
      <c r="V71" s="1366"/>
      <c r="W71" s="1366"/>
      <c r="X71" s="1636"/>
      <c r="Y71" s="1366"/>
      <c r="Z71" s="1366"/>
      <c r="AA71" s="544"/>
      <c r="AB71" s="1366"/>
      <c r="AC71" s="1366"/>
      <c r="AD71" s="1366"/>
      <c r="AE71" s="1366"/>
      <c r="AF71" s="1366"/>
      <c r="AG71" s="1632"/>
      <c r="AH71" s="622"/>
      <c r="AI71" s="622"/>
      <c r="AJ71" s="622"/>
      <c r="AK71" s="622"/>
      <c r="AL71" s="1641">
        <v>11</v>
      </c>
    </row>
    <row s="1641" customFormat="1" customHeight="1" ht="11.549999999999999">
      <c r="A72" s="987"/>
      <c r="B72" s="987"/>
      <c r="C72" s="987"/>
      <c r="D72" s="987"/>
      <c r="E72" s="987"/>
      <c r="F72" s="1636"/>
      <c r="G72" s="1636"/>
      <c r="H72" s="351"/>
      <c r="N72" s="1641"/>
      <c r="O72" s="1366"/>
      <c r="Q72" s="1366"/>
      <c r="R72" s="1636"/>
      <c r="S72" s="1636"/>
      <c r="T72" s="1366"/>
      <c r="U72" s="1366"/>
      <c r="V72" s="1366"/>
      <c r="W72" s="1366"/>
      <c r="X72" s="1636"/>
      <c r="Y72" s="1366"/>
      <c r="Z72" s="1366"/>
      <c r="AA72" s="544"/>
      <c r="AB72" s="1366"/>
      <c r="AC72" s="1366"/>
      <c r="AD72" s="1366"/>
      <c r="AE72" s="1366"/>
      <c r="AF72" s="1366"/>
      <c r="AG72" s="1632"/>
      <c r="AH72" s="622"/>
      <c r="AI72" s="622"/>
      <c r="AJ72" s="622"/>
      <c r="AK72" s="622"/>
      <c r="AL72" s="1641">
        <v>11</v>
      </c>
    </row>
    <row s="1641" customFormat="1" customHeight="1" ht="11.549999999999999">
      <c r="A73" s="987"/>
      <c r="B73" s="987"/>
      <c r="C73" s="987"/>
      <c r="D73" s="987"/>
      <c r="E73" s="987"/>
      <c r="F73" s="1636"/>
      <c r="G73" s="1636"/>
      <c r="H73" s="351"/>
      <c r="N73" s="1641"/>
      <c r="O73" s="1366"/>
      <c r="Q73" s="1366"/>
      <c r="R73" s="1636"/>
      <c r="S73" s="1636"/>
      <c r="T73" s="1366"/>
      <c r="U73" s="1366"/>
      <c r="V73" s="1366"/>
      <c r="W73" s="1366"/>
      <c r="X73" s="1636"/>
      <c r="Y73" s="1366"/>
      <c r="Z73" s="1366"/>
      <c r="AA73" s="544"/>
      <c r="AB73" s="1366"/>
      <c r="AC73" s="1366"/>
      <c r="AD73" s="1366"/>
      <c r="AE73" s="1366"/>
      <c r="AF73" s="1366"/>
      <c r="AG73" s="1632"/>
      <c r="AH73" s="622"/>
      <c r="AI73" s="622"/>
      <c r="AJ73" s="622"/>
      <c r="AK73" s="622"/>
      <c r="AL73" s="1641">
        <v>11</v>
      </c>
    </row>
    <row s="1641" customFormat="1" customHeight="1" ht="11.549999999999999">
      <c r="A74" s="987"/>
      <c r="B74" s="987"/>
      <c r="C74" s="987"/>
      <c r="D74" s="987"/>
      <c r="E74" s="987"/>
      <c r="F74" s="1636"/>
      <c r="G74" s="1636"/>
      <c r="H74" s="351"/>
      <c r="N74" s="1641"/>
      <c r="O74" s="1366"/>
      <c r="Q74" s="1366"/>
      <c r="R74" s="1636"/>
      <c r="S74" s="1636"/>
      <c r="T74" s="1366"/>
      <c r="U74" s="1366"/>
      <c r="V74" s="1366"/>
      <c r="W74" s="1366"/>
      <c r="X74" s="1636"/>
      <c r="Y74" s="1366"/>
      <c r="Z74" s="1366"/>
      <c r="AA74" s="544"/>
      <c r="AB74" s="1366"/>
      <c r="AC74" s="1366"/>
      <c r="AD74" s="1366"/>
      <c r="AE74" s="1366"/>
      <c r="AF74" s="1366"/>
      <c r="AG74" s="1632"/>
      <c r="AH74" s="622"/>
      <c r="AI74" s="622"/>
      <c r="AJ74" s="622"/>
      <c r="AK74" s="622"/>
      <c r="AL74" s="1641">
        <v>11</v>
      </c>
    </row>
    <row s="1641" customFormat="1" customHeight="1" ht="11.549999999999999">
      <c r="A75" s="987"/>
      <c r="B75" s="987"/>
      <c r="C75" s="987"/>
      <c r="D75" s="987"/>
      <c r="E75" s="987"/>
      <c r="F75" s="1636"/>
      <c r="G75" s="1636"/>
      <c r="H75" s="351"/>
      <c r="N75" s="1641"/>
      <c r="O75" s="1366"/>
      <c r="Q75" s="1366"/>
      <c r="R75" s="1636"/>
      <c r="S75" s="1636"/>
      <c r="T75" s="1366"/>
      <c r="U75" s="1366"/>
      <c r="V75" s="1366"/>
      <c r="W75" s="1366"/>
      <c r="X75" s="1636"/>
      <c r="Y75" s="1366"/>
      <c r="Z75" s="1366"/>
      <c r="AA75" s="544"/>
      <c r="AB75" s="1366"/>
      <c r="AC75" s="1366"/>
      <c r="AD75" s="1366"/>
      <c r="AE75" s="1366"/>
      <c r="AF75" s="1366"/>
      <c r="AG75" s="1632"/>
      <c r="AH75" s="622"/>
      <c r="AI75" s="622"/>
      <c r="AJ75" s="622"/>
      <c r="AK75" s="622"/>
      <c r="AL75" s="1641">
        <v>11</v>
      </c>
    </row>
    <row s="1641" customFormat="1" customHeight="1" ht="11.549999999999999">
      <c r="A76" s="987"/>
      <c r="B76" s="987"/>
      <c r="C76" s="987"/>
      <c r="D76" s="987"/>
      <c r="E76" s="987"/>
      <c r="F76" s="1636"/>
      <c r="G76" s="1636"/>
      <c r="H76" s="351"/>
      <c r="N76" s="1641"/>
      <c r="O76" s="1366"/>
      <c r="Q76" s="1366"/>
      <c r="R76" s="1636"/>
      <c r="S76" s="1636"/>
      <c r="T76" s="1366"/>
      <c r="U76" s="1366"/>
      <c r="V76" s="1366"/>
      <c r="W76" s="1366"/>
      <c r="X76" s="1636"/>
      <c r="Y76" s="1366"/>
      <c r="Z76" s="1366"/>
      <c r="AA76" s="544"/>
      <c r="AB76" s="1366"/>
      <c r="AC76" s="1366"/>
      <c r="AD76" s="1366"/>
      <c r="AE76" s="1366"/>
      <c r="AF76" s="1366"/>
      <c r="AG76" s="1632"/>
      <c r="AH76" s="622"/>
      <c r="AI76" s="622"/>
      <c r="AJ76" s="622"/>
      <c r="AK76" s="622"/>
      <c r="AL76" s="1641">
        <v>11</v>
      </c>
    </row>
    <row s="1641" customFormat="1" customHeight="1" ht="11.549999999999999">
      <c r="A77" s="987"/>
      <c r="B77" s="987"/>
      <c r="C77" s="987"/>
      <c r="D77" s="987"/>
      <c r="E77" s="987"/>
      <c r="F77" s="1636"/>
      <c r="G77" s="1636"/>
      <c r="H77" s="351"/>
      <c r="N77" s="1641"/>
      <c r="O77" s="1366"/>
      <c r="Q77" s="1366"/>
      <c r="R77" s="1636"/>
      <c r="S77" s="1636"/>
      <c r="T77" s="1366"/>
      <c r="U77" s="1366"/>
      <c r="V77" s="1366"/>
      <c r="W77" s="1366"/>
      <c r="X77" s="1636"/>
      <c r="Y77" s="1366"/>
      <c r="Z77" s="1366"/>
      <c r="AA77" s="544"/>
      <c r="AB77" s="1366"/>
      <c r="AC77" s="1366"/>
      <c r="AD77" s="1366"/>
      <c r="AE77" s="1366"/>
      <c r="AF77" s="1366"/>
      <c r="AG77" s="1632"/>
      <c r="AH77" s="622"/>
      <c r="AI77" s="622"/>
      <c r="AJ77" s="622"/>
      <c r="AK77" s="622"/>
      <c r="AL77" s="1641">
        <v>11</v>
      </c>
    </row>
    <row s="1641" customFormat="1" customHeight="1" ht="11.549999999999999">
      <c r="A78" s="987"/>
      <c r="B78" s="987"/>
      <c r="C78" s="987"/>
      <c r="D78" s="987"/>
      <c r="E78" s="987"/>
      <c r="F78" s="1636"/>
      <c r="G78" s="1636"/>
      <c r="H78" s="351"/>
      <c r="N78" s="1641"/>
      <c r="O78" s="1366"/>
      <c r="Q78" s="1366"/>
      <c r="R78" s="1636"/>
      <c r="S78" s="1636"/>
      <c r="T78" s="1366"/>
      <c r="U78" s="1366"/>
      <c r="V78" s="1366"/>
      <c r="W78" s="1366"/>
      <c r="X78" s="1636"/>
      <c r="Y78" s="1366"/>
      <c r="Z78" s="1366"/>
      <c r="AA78" s="544"/>
      <c r="AB78" s="1366"/>
      <c r="AC78" s="1366"/>
      <c r="AD78" s="1366"/>
      <c r="AE78" s="1366"/>
      <c r="AF78" s="1366"/>
      <c r="AG78" s="1632"/>
      <c r="AH78" s="622"/>
      <c r="AI78" s="622"/>
      <c r="AJ78" s="622"/>
      <c r="AK78" s="622"/>
      <c r="AL78" s="1641">
        <v>11</v>
      </c>
    </row>
    <row s="1641" customFormat="1" customHeight="1" ht="11.549999999999999">
      <c r="A79" s="987"/>
      <c r="B79" s="987"/>
      <c r="C79" s="987"/>
      <c r="D79" s="987"/>
      <c r="E79" s="987"/>
      <c r="F79" s="1636"/>
      <c r="G79" s="1636"/>
      <c r="H79" s="351"/>
      <c r="N79" s="1641"/>
      <c r="O79" s="1366"/>
      <c r="Q79" s="1366"/>
      <c r="R79" s="1636"/>
      <c r="S79" s="1636"/>
      <c r="T79" s="1366"/>
      <c r="U79" s="1366"/>
      <c r="V79" s="1366"/>
      <c r="W79" s="1366"/>
      <c r="X79" s="1636"/>
      <c r="Y79" s="1366"/>
      <c r="Z79" s="1366"/>
      <c r="AA79" s="544"/>
      <c r="AB79" s="1366"/>
      <c r="AC79" s="1366"/>
      <c r="AD79" s="1366"/>
      <c r="AE79" s="1366"/>
      <c r="AF79" s="1366"/>
      <c r="AG79" s="1632"/>
      <c r="AH79" s="622"/>
      <c r="AI79" s="622"/>
      <c r="AJ79" s="622"/>
      <c r="AK79" s="622"/>
      <c r="AL79" s="1641">
        <v>11</v>
      </c>
    </row>
    <row s="1641" customFormat="1" customHeight="1" ht="11.549999999999999">
      <c r="A80" s="987"/>
      <c r="B80" s="987"/>
      <c r="C80" s="987"/>
      <c r="D80" s="987"/>
      <c r="E80" s="987"/>
      <c r="F80" s="1636"/>
      <c r="G80" s="1636"/>
      <c r="H80" s="351"/>
      <c r="N80" s="1641"/>
      <c r="O80" s="1366"/>
      <c r="Q80" s="1366"/>
      <c r="R80" s="1636"/>
      <c r="S80" s="1636"/>
      <c r="T80" s="1366"/>
      <c r="U80" s="1366"/>
      <c r="V80" s="1366"/>
      <c r="W80" s="1366"/>
      <c r="X80" s="1636"/>
      <c r="Y80" s="1366"/>
      <c r="Z80" s="1366"/>
      <c r="AA80" s="544"/>
      <c r="AB80" s="1366"/>
      <c r="AC80" s="1366"/>
      <c r="AD80" s="1366"/>
      <c r="AE80" s="1366"/>
      <c r="AF80" s="1366"/>
      <c r="AG80" s="1632"/>
      <c r="AH80" s="622"/>
      <c r="AI80" s="622"/>
      <c r="AJ80" s="622"/>
      <c r="AK80" s="622"/>
      <c r="AL80" s="1641">
        <v>11</v>
      </c>
    </row>
    <row s="1641" customFormat="1" customHeight="1" ht="11.549999999999999">
      <c r="A81" s="987"/>
      <c r="B81" s="987"/>
      <c r="C81" s="987"/>
      <c r="D81" s="987"/>
      <c r="E81" s="987"/>
      <c r="F81" s="1636"/>
      <c r="G81" s="1636"/>
      <c r="H81" s="351"/>
      <c r="N81" s="1641"/>
      <c r="O81" s="1366"/>
      <c r="Q81" s="1366"/>
      <c r="R81" s="1636"/>
      <c r="S81" s="1636"/>
      <c r="T81" s="1366"/>
      <c r="U81" s="1366"/>
      <c r="V81" s="1366"/>
      <c r="W81" s="1366"/>
      <c r="X81" s="1636"/>
      <c r="Y81" s="1366"/>
      <c r="Z81" s="1366"/>
      <c r="AA81" s="544"/>
      <c r="AB81" s="1366"/>
      <c r="AC81" s="1366"/>
      <c r="AD81" s="1366"/>
      <c r="AE81" s="1366"/>
      <c r="AF81" s="1366"/>
      <c r="AG81" s="1632"/>
      <c r="AH81" s="622"/>
      <c r="AI81" s="622"/>
      <c r="AJ81" s="622"/>
      <c r="AK81" s="622"/>
      <c r="AL81" s="1641">
        <v>11</v>
      </c>
    </row>
    <row s="1641" customFormat="1" customHeight="1" ht="11.549999999999999">
      <c r="A82" s="987"/>
      <c r="B82" s="987"/>
      <c r="C82" s="987"/>
      <c r="D82" s="987"/>
      <c r="E82" s="987"/>
      <c r="F82" s="1636"/>
      <c r="G82" s="1636"/>
      <c r="H82" s="351"/>
      <c r="N82" s="1641"/>
      <c r="O82" s="1366"/>
      <c r="Q82" s="1366"/>
      <c r="R82" s="1636"/>
      <c r="S82" s="1636"/>
      <c r="T82" s="1366"/>
      <c r="U82" s="1366"/>
      <c r="V82" s="1366"/>
      <c r="W82" s="1366"/>
      <c r="X82" s="1636"/>
      <c r="Y82" s="1366"/>
      <c r="Z82" s="1366"/>
      <c r="AA82" s="544"/>
      <c r="AB82" s="1366"/>
      <c r="AC82" s="1366"/>
      <c r="AD82" s="1366"/>
      <c r="AE82" s="1366"/>
      <c r="AF82" s="1366"/>
      <c r="AG82" s="1632"/>
      <c r="AH82" s="622"/>
      <c r="AI82" s="622"/>
      <c r="AJ82" s="622"/>
      <c r="AK82" s="622"/>
      <c r="AL82" s="1641">
        <v>11</v>
      </c>
    </row>
    <row s="1641" customFormat="1" customHeight="1" ht="11.549999999999999">
      <c r="A83" s="987"/>
      <c r="B83" s="987"/>
      <c r="C83" s="987"/>
      <c r="D83" s="987"/>
      <c r="E83" s="987"/>
      <c r="F83" s="1636"/>
      <c r="G83" s="1636"/>
      <c r="H83" s="351"/>
      <c r="N83" s="1641"/>
      <c r="O83" s="1366"/>
      <c r="Q83" s="1366"/>
      <c r="R83" s="1636"/>
      <c r="S83" s="1636"/>
      <c r="T83" s="1366"/>
      <c r="U83" s="1366"/>
      <c r="V83" s="1366"/>
      <c r="W83" s="1366"/>
      <c r="X83" s="1636"/>
      <c r="Y83" s="1366"/>
      <c r="Z83" s="1366"/>
      <c r="AA83" s="544"/>
      <c r="AB83" s="1366"/>
      <c r="AC83" s="1366"/>
      <c r="AD83" s="1366"/>
      <c r="AE83" s="1366"/>
      <c r="AF83" s="1366"/>
      <c r="AG83" s="1632"/>
      <c r="AH83" s="622"/>
      <c r="AI83" s="622"/>
      <c r="AJ83" s="622"/>
      <c r="AK83" s="622"/>
      <c r="AL83" s="1641">
        <v>11</v>
      </c>
    </row>
    <row s="1641" customFormat="1" customHeight="1" ht="11.549999999999999">
      <c r="A84" s="987"/>
      <c r="B84" s="987"/>
      <c r="C84" s="987"/>
      <c r="D84" s="987"/>
      <c r="E84" s="987"/>
      <c r="F84" s="1636"/>
      <c r="G84" s="1636"/>
      <c r="H84" s="351"/>
      <c r="N84" s="1641"/>
      <c r="O84" s="1366"/>
      <c r="Q84" s="1366"/>
      <c r="R84" s="1636"/>
      <c r="S84" s="1636"/>
      <c r="T84" s="1366"/>
      <c r="U84" s="1366"/>
      <c r="V84" s="1366"/>
      <c r="W84" s="1366"/>
      <c r="X84" s="1636"/>
      <c r="Y84" s="1366"/>
      <c r="Z84" s="1366"/>
      <c r="AA84" s="544"/>
      <c r="AB84" s="1366"/>
      <c r="AC84" s="1366"/>
      <c r="AD84" s="1366"/>
      <c r="AE84" s="1366"/>
      <c r="AF84" s="1366"/>
      <c r="AG84" s="1632"/>
      <c r="AH84" s="622"/>
      <c r="AI84" s="622"/>
      <c r="AJ84" s="622"/>
      <c r="AK84" s="622"/>
      <c r="AL84" s="1641">
        <v>11</v>
      </c>
    </row>
    <row s="1641" customFormat="1" customHeight="1" ht="11.549999999999999">
      <c r="A85" s="987"/>
      <c r="B85" s="987"/>
      <c r="C85" s="987"/>
      <c r="D85" s="987"/>
      <c r="E85" s="987"/>
      <c r="F85" s="1636"/>
      <c r="G85" s="1636"/>
      <c r="H85" s="351"/>
      <c r="N85" s="1641"/>
      <c r="O85" s="1366"/>
      <c r="Q85" s="1366"/>
      <c r="R85" s="1636"/>
      <c r="S85" s="1636"/>
      <c r="T85" s="1366"/>
      <c r="U85" s="1366"/>
      <c r="V85" s="1366"/>
      <c r="W85" s="1366"/>
      <c r="X85" s="1636"/>
      <c r="Y85" s="1366"/>
      <c r="Z85" s="1366"/>
      <c r="AA85" s="544"/>
      <c r="AB85" s="1366"/>
      <c r="AC85" s="1366"/>
      <c r="AD85" s="1366"/>
      <c r="AE85" s="1366"/>
      <c r="AF85" s="1366"/>
      <c r="AG85" s="1632"/>
      <c r="AH85" s="622"/>
      <c r="AI85" s="622"/>
      <c r="AJ85" s="622"/>
      <c r="AK85" s="622"/>
      <c r="AL85" s="1641">
        <v>11</v>
      </c>
    </row>
    <row s="1641" customFormat="1" customHeight="1" ht="11.549999999999999">
      <c r="A86" s="987"/>
      <c r="B86" s="987"/>
      <c r="C86" s="987"/>
      <c r="D86" s="987"/>
      <c r="E86" s="987"/>
      <c r="F86" s="1636"/>
      <c r="G86" s="1636"/>
      <c r="H86" s="351"/>
      <c r="N86" s="1641"/>
      <c r="O86" s="1366"/>
      <c r="Q86" s="1366"/>
      <c r="R86" s="1636"/>
      <c r="S86" s="1636"/>
      <c r="T86" s="1366"/>
      <c r="U86" s="1366"/>
      <c r="V86" s="1366"/>
      <c r="W86" s="1366"/>
      <c r="X86" s="1636"/>
      <c r="Y86" s="1366"/>
      <c r="Z86" s="1366"/>
      <c r="AA86" s="544"/>
      <c r="AB86" s="1366"/>
      <c r="AC86" s="1366"/>
      <c r="AD86" s="1366"/>
      <c r="AE86" s="1366"/>
      <c r="AF86" s="1366"/>
      <c r="AG86" s="1632"/>
      <c r="AH86" s="622"/>
      <c r="AI86" s="622"/>
      <c r="AJ86" s="622"/>
      <c r="AK86" s="622"/>
      <c r="AL86" s="1641">
        <v>11</v>
      </c>
    </row>
    <row s="1641" customFormat="1" customHeight="1" ht="11.549999999999999">
      <c r="A87" s="987"/>
      <c r="B87" s="987"/>
      <c r="C87" s="987"/>
      <c r="D87" s="987"/>
      <c r="E87" s="987"/>
      <c r="F87" s="1636"/>
      <c r="G87" s="1636"/>
      <c r="H87" s="351"/>
      <c r="N87" s="1641"/>
      <c r="O87" s="1366"/>
      <c r="Q87" s="1366"/>
      <c r="R87" s="1636"/>
      <c r="S87" s="1636"/>
      <c r="T87" s="1366"/>
      <c r="U87" s="1366"/>
      <c r="V87" s="1366"/>
      <c r="W87" s="1366"/>
      <c r="X87" s="1636"/>
      <c r="Y87" s="1366"/>
      <c r="Z87" s="1366"/>
      <c r="AA87" s="544"/>
      <c r="AB87" s="1366"/>
      <c r="AC87" s="1366"/>
      <c r="AD87" s="1366"/>
      <c r="AE87" s="1366"/>
      <c r="AF87" s="1366"/>
      <c r="AG87" s="1632"/>
      <c r="AH87" s="622"/>
      <c r="AI87" s="622"/>
      <c r="AJ87" s="622"/>
      <c r="AK87" s="622"/>
      <c r="AL87" s="1641">
        <v>11</v>
      </c>
    </row>
    <row s="1641" customFormat="1" customHeight="1" ht="11.549999999999999">
      <c r="A88" s="987"/>
      <c r="B88" s="987"/>
      <c r="C88" s="987"/>
      <c r="D88" s="987"/>
      <c r="E88" s="987"/>
      <c r="F88" s="1636"/>
      <c r="G88" s="1636"/>
      <c r="H88" s="351"/>
      <c r="N88" s="1641"/>
      <c r="O88" s="1366"/>
      <c r="Q88" s="1366"/>
      <c r="R88" s="1636"/>
      <c r="S88" s="1636"/>
      <c r="T88" s="1366"/>
      <c r="U88" s="1366"/>
      <c r="V88" s="1366"/>
      <c r="W88" s="1366"/>
      <c r="X88" s="1636"/>
      <c r="Y88" s="1366"/>
      <c r="Z88" s="1366"/>
      <c r="AA88" s="544"/>
      <c r="AB88" s="1366"/>
      <c r="AC88" s="1366"/>
      <c r="AD88" s="1366"/>
      <c r="AE88" s="1366"/>
      <c r="AF88" s="1366"/>
      <c r="AG88" s="1632"/>
      <c r="AH88" s="622"/>
      <c r="AI88" s="622"/>
      <c r="AJ88" s="622"/>
      <c r="AK88" s="622"/>
      <c r="AL88" s="1641">
        <v>11</v>
      </c>
    </row>
    <row s="1641" customFormat="1" customHeight="1" ht="11.549999999999999">
      <c r="A89" s="987"/>
      <c r="B89" s="987"/>
      <c r="C89" s="987"/>
      <c r="D89" s="987"/>
      <c r="E89" s="987"/>
      <c r="F89" s="1636"/>
      <c r="G89" s="1636"/>
      <c r="H89" s="351"/>
      <c r="N89" s="1641"/>
      <c r="O89" s="1366"/>
      <c r="Q89" s="1366"/>
      <c r="R89" s="1636"/>
      <c r="S89" s="1636"/>
      <c r="T89" s="1366"/>
      <c r="U89" s="1366"/>
      <c r="V89" s="1366"/>
      <c r="W89" s="1366"/>
      <c r="X89" s="1636"/>
      <c r="Y89" s="1366"/>
      <c r="Z89" s="1366"/>
      <c r="AA89" s="544"/>
      <c r="AB89" s="1366"/>
      <c r="AC89" s="1366"/>
      <c r="AD89" s="1366"/>
      <c r="AE89" s="1366"/>
      <c r="AF89" s="1366"/>
      <c r="AG89" s="1632"/>
      <c r="AH89" s="622"/>
      <c r="AI89" s="622"/>
      <c r="AJ89" s="622"/>
      <c r="AK89" s="622"/>
      <c r="AL89" s="1641">
        <v>11</v>
      </c>
    </row>
    <row s="1641" customFormat="1" customHeight="1" ht="11.549999999999999">
      <c r="A90" s="987"/>
      <c r="B90" s="987"/>
      <c r="C90" s="987"/>
      <c r="D90" s="987"/>
      <c r="E90" s="987"/>
      <c r="F90" s="1636"/>
      <c r="G90" s="1636"/>
      <c r="H90" s="351"/>
      <c r="N90" s="1641"/>
      <c r="O90" s="1366"/>
      <c r="Q90" s="1366"/>
      <c r="R90" s="1636"/>
      <c r="S90" s="1636"/>
      <c r="T90" s="1366"/>
      <c r="U90" s="1366"/>
      <c r="V90" s="1366"/>
      <c r="W90" s="1366"/>
      <c r="X90" s="1636"/>
      <c r="Y90" s="1366"/>
      <c r="Z90" s="1366"/>
      <c r="AA90" s="544"/>
      <c r="AB90" s="1366"/>
      <c r="AC90" s="1366"/>
      <c r="AD90" s="1366"/>
      <c r="AE90" s="1366"/>
      <c r="AF90" s="1366"/>
      <c r="AG90" s="1632"/>
      <c r="AH90" s="622"/>
      <c r="AI90" s="622"/>
      <c r="AJ90" s="622"/>
      <c r="AK90" s="622"/>
      <c r="AL90" s="1641">
        <v>11</v>
      </c>
    </row>
    <row s="1641" customFormat="1" customHeight="1" ht="11.549999999999999">
      <c r="A91" s="987"/>
      <c r="B91" s="987"/>
      <c r="C91" s="987"/>
      <c r="D91" s="987"/>
      <c r="E91" s="987"/>
      <c r="F91" s="1636"/>
      <c r="G91" s="1636"/>
      <c r="H91" s="351"/>
      <c r="N91" s="1641"/>
      <c r="O91" s="1366"/>
      <c r="Q91" s="1366"/>
      <c r="R91" s="1636"/>
      <c r="S91" s="1636"/>
      <c r="T91" s="1366"/>
      <c r="U91" s="1366"/>
      <c r="V91" s="1366"/>
      <c r="W91" s="1366"/>
      <c r="X91" s="1636"/>
      <c r="Y91" s="1366"/>
      <c r="Z91" s="1366"/>
      <c r="AA91" s="544"/>
      <c r="AB91" s="1366"/>
      <c r="AC91" s="1366"/>
      <c r="AD91" s="1366"/>
      <c r="AE91" s="1366"/>
      <c r="AF91" s="1366"/>
      <c r="AG91" s="1632"/>
      <c r="AH91" s="622"/>
      <c r="AI91" s="622"/>
      <c r="AJ91" s="622"/>
      <c r="AK91" s="622"/>
      <c r="AL91" s="1641">
        <v>11</v>
      </c>
    </row>
    <row s="1641" customFormat="1" customHeight="1" ht="11.549999999999999">
      <c r="A92" s="987"/>
      <c r="B92" s="987"/>
      <c r="C92" s="987"/>
      <c r="D92" s="987"/>
      <c r="E92" s="987"/>
      <c r="F92" s="1636"/>
      <c r="G92" s="1636"/>
      <c r="H92" s="351"/>
      <c r="N92" s="1641"/>
      <c r="O92" s="1366"/>
      <c r="Q92" s="1366"/>
      <c r="R92" s="1636"/>
      <c r="S92" s="1636"/>
      <c r="T92" s="1366"/>
      <c r="U92" s="1366"/>
      <c r="V92" s="1366"/>
      <c r="W92" s="1366"/>
      <c r="X92" s="1636"/>
      <c r="Y92" s="1366"/>
      <c r="Z92" s="1366"/>
      <c r="AA92" s="544"/>
      <c r="AB92" s="1366"/>
      <c r="AC92" s="1366"/>
      <c r="AD92" s="1366"/>
      <c r="AE92" s="1366"/>
      <c r="AF92" s="1366"/>
      <c r="AG92" s="1632"/>
      <c r="AH92" s="622"/>
      <c r="AI92" s="622"/>
      <c r="AJ92" s="622"/>
      <c r="AK92" s="622"/>
      <c r="AL92" s="1641">
        <v>11</v>
      </c>
    </row>
    <row s="1641" customFormat="1" customHeight="1" ht="11.549999999999999">
      <c r="A93" s="987"/>
      <c r="B93" s="987"/>
      <c r="C93" s="987"/>
      <c r="D93" s="987"/>
      <c r="E93" s="987"/>
      <c r="F93" s="1636"/>
      <c r="G93" s="1636"/>
      <c r="H93" s="351"/>
      <c r="N93" s="1641"/>
      <c r="O93" s="1366"/>
      <c r="Q93" s="1366"/>
      <c r="R93" s="1636"/>
      <c r="S93" s="1636"/>
      <c r="T93" s="1366"/>
      <c r="U93" s="1366"/>
      <c r="V93" s="1366"/>
      <c r="W93" s="1366"/>
      <c r="X93" s="1636"/>
      <c r="Y93" s="1366"/>
      <c r="Z93" s="1366"/>
      <c r="AA93" s="544"/>
      <c r="AB93" s="1366"/>
      <c r="AC93" s="1366"/>
      <c r="AD93" s="1366"/>
      <c r="AE93" s="1366"/>
      <c r="AF93" s="1366"/>
      <c r="AG93" s="1632"/>
      <c r="AH93" s="622"/>
      <c r="AI93" s="622"/>
      <c r="AJ93" s="622"/>
      <c r="AK93" s="622"/>
      <c r="AL93" s="1641">
        <v>11</v>
      </c>
    </row>
    <row s="1641" customFormat="1" customHeight="1" ht="11.549999999999999">
      <c r="A94" s="987"/>
      <c r="B94" s="987"/>
      <c r="C94" s="987"/>
      <c r="D94" s="987"/>
      <c r="E94" s="987"/>
      <c r="F94" s="1636"/>
      <c r="G94" s="1636"/>
      <c r="H94" s="351"/>
      <c r="N94" s="1641"/>
      <c r="O94" s="1366"/>
      <c r="Q94" s="1366"/>
      <c r="R94" s="1636"/>
      <c r="S94" s="1636"/>
      <c r="T94" s="1366"/>
      <c r="U94" s="1366"/>
      <c r="V94" s="1366"/>
      <c r="W94" s="1366"/>
      <c r="X94" s="1636"/>
      <c r="Y94" s="1366"/>
      <c r="Z94" s="1366"/>
      <c r="AA94" s="544"/>
      <c r="AB94" s="1366"/>
      <c r="AC94" s="1366"/>
      <c r="AD94" s="1366"/>
      <c r="AE94" s="1366"/>
      <c r="AF94" s="1366"/>
      <c r="AG94" s="1632"/>
      <c r="AH94" s="622"/>
      <c r="AI94" s="622"/>
      <c r="AJ94" s="622"/>
      <c r="AK94" s="622"/>
      <c r="AL94" s="1641">
        <v>11</v>
      </c>
    </row>
    <row s="1641" customFormat="1" customHeight="1" ht="11.549999999999999">
      <c r="A95" s="987"/>
      <c r="B95" s="987"/>
      <c r="C95" s="987"/>
      <c r="D95" s="987"/>
      <c r="E95" s="987"/>
      <c r="F95" s="1636"/>
      <c r="G95" s="1636"/>
      <c r="H95" s="351"/>
      <c r="N95" s="1641"/>
      <c r="O95" s="1366"/>
      <c r="Q95" s="1366"/>
      <c r="R95" s="1636"/>
      <c r="S95" s="1636"/>
      <c r="T95" s="1366"/>
      <c r="U95" s="1366"/>
      <c r="V95" s="1366"/>
      <c r="W95" s="1366"/>
      <c r="X95" s="1636"/>
      <c r="Y95" s="1366"/>
      <c r="Z95" s="1366"/>
      <c r="AA95" s="544"/>
      <c r="AB95" s="1366"/>
      <c r="AC95" s="1366"/>
      <c r="AD95" s="1366"/>
      <c r="AE95" s="1366"/>
      <c r="AF95" s="1366"/>
      <c r="AG95" s="1632"/>
      <c r="AH95" s="622"/>
      <c r="AI95" s="622"/>
      <c r="AJ95" s="622"/>
      <c r="AK95" s="622"/>
      <c r="AL95" s="1641">
        <v>11</v>
      </c>
    </row>
    <row s="1641" customFormat="1" customHeight="1" ht="11.549999999999999">
      <c r="A96" s="987"/>
      <c r="B96" s="987"/>
      <c r="C96" s="987"/>
      <c r="D96" s="987"/>
      <c r="E96" s="987"/>
      <c r="F96" s="1636"/>
      <c r="G96" s="1636"/>
      <c r="H96" s="351"/>
      <c r="N96" s="1641"/>
      <c r="O96" s="1366"/>
      <c r="Q96" s="1366"/>
      <c r="R96" s="1636"/>
      <c r="S96" s="1636"/>
      <c r="T96" s="1366"/>
      <c r="U96" s="1366"/>
      <c r="V96" s="1366"/>
      <c r="W96" s="1366"/>
      <c r="X96" s="1636"/>
      <c r="Y96" s="1366"/>
      <c r="Z96" s="1366"/>
      <c r="AA96" s="544"/>
      <c r="AB96" s="1366"/>
      <c r="AC96" s="1366"/>
      <c r="AD96" s="1366"/>
      <c r="AE96" s="1366"/>
      <c r="AF96" s="1366"/>
      <c r="AG96" s="1632"/>
      <c r="AH96" s="622"/>
      <c r="AI96" s="622"/>
      <c r="AJ96" s="622"/>
      <c r="AK96" s="622"/>
      <c r="AL96" s="1641">
        <v>11</v>
      </c>
    </row>
    <row s="1641" customFormat="1" customHeight="1" ht="11.549999999999999">
      <c r="A97" s="987"/>
      <c r="B97" s="987"/>
      <c r="C97" s="987"/>
      <c r="D97" s="987"/>
      <c r="E97" s="987"/>
      <c r="F97" s="1636"/>
      <c r="G97" s="1636"/>
      <c r="H97" s="351"/>
      <c r="N97" s="1641"/>
      <c r="O97" s="1366"/>
      <c r="Q97" s="1366"/>
      <c r="R97" s="1636"/>
      <c r="S97" s="1636"/>
      <c r="T97" s="1366"/>
      <c r="U97" s="1366"/>
      <c r="V97" s="1366"/>
      <c r="W97" s="1366"/>
      <c r="X97" s="1636"/>
      <c r="Y97" s="1366"/>
      <c r="Z97" s="1366"/>
      <c r="AA97" s="544"/>
      <c r="AB97" s="1366"/>
      <c r="AC97" s="1366"/>
      <c r="AD97" s="1366"/>
      <c r="AE97" s="1366"/>
      <c r="AF97" s="1366"/>
      <c r="AG97" s="1632"/>
      <c r="AH97" s="622"/>
      <c r="AI97" s="622"/>
      <c r="AJ97" s="622"/>
      <c r="AK97" s="622"/>
      <c r="AL97" s="1641">
        <v>11</v>
      </c>
    </row>
    <row s="1641" customFormat="1" customHeight="1" ht="11.549999999999999">
      <c r="A98" s="987"/>
      <c r="B98" s="987"/>
      <c r="C98" s="987"/>
      <c r="D98" s="987"/>
      <c r="E98" s="987"/>
      <c r="F98" s="1636"/>
      <c r="G98" s="1636"/>
      <c r="H98" s="351"/>
      <c r="N98" s="1641"/>
      <c r="O98" s="1366"/>
      <c r="Q98" s="1366"/>
      <c r="R98" s="1636"/>
      <c r="S98" s="1636"/>
      <c r="T98" s="1366"/>
      <c r="U98" s="1366"/>
      <c r="V98" s="1366"/>
      <c r="W98" s="1366"/>
      <c r="X98" s="1636"/>
      <c r="Y98" s="1366"/>
      <c r="Z98" s="1366"/>
      <c r="AA98" s="544"/>
      <c r="AB98" s="1366"/>
      <c r="AC98" s="1366"/>
      <c r="AD98" s="1366"/>
      <c r="AE98" s="1366"/>
      <c r="AF98" s="1366"/>
      <c r="AG98" s="1632"/>
      <c r="AH98" s="622"/>
      <c r="AI98" s="622"/>
      <c r="AJ98" s="622"/>
      <c r="AK98" s="622"/>
      <c r="AL98" s="1641">
        <v>11</v>
      </c>
    </row>
    <row s="1641" customFormat="1" customHeight="1" ht="11.549999999999999">
      <c r="A99" s="987"/>
      <c r="B99" s="987"/>
      <c r="C99" s="987"/>
      <c r="D99" s="987"/>
      <c r="E99" s="987"/>
      <c r="F99" s="1636"/>
      <c r="G99" s="1636"/>
      <c r="H99" s="351"/>
      <c r="N99" s="1641"/>
      <c r="O99" s="1366"/>
      <c r="Q99" s="1366"/>
      <c r="R99" s="1636"/>
      <c r="S99" s="1636"/>
      <c r="T99" s="1366"/>
      <c r="U99" s="1366"/>
      <c r="V99" s="1366"/>
      <c r="W99" s="1366"/>
      <c r="X99" s="1636"/>
      <c r="Y99" s="1366"/>
      <c r="Z99" s="1366"/>
      <c r="AA99" s="544"/>
      <c r="AB99" s="1366"/>
      <c r="AC99" s="1366"/>
      <c r="AD99" s="1366"/>
      <c r="AE99" s="1366"/>
      <c r="AF99" s="1366"/>
      <c r="AG99" s="1632"/>
      <c r="AH99" s="622"/>
      <c r="AI99" s="622"/>
      <c r="AJ99" s="622"/>
      <c r="AK99" s="622"/>
      <c r="AL99" s="1641">
        <v>11</v>
      </c>
    </row>
    <row s="1641" customFormat="1" customHeight="1" ht="11.549999999999999">
      <c r="A100" s="987"/>
      <c r="B100" s="987"/>
      <c r="C100" s="987"/>
      <c r="D100" s="987"/>
      <c r="E100" s="987"/>
      <c r="F100" s="1636"/>
      <c r="G100" s="1636"/>
      <c r="H100" s="351"/>
      <c r="N100" s="1641"/>
      <c r="O100" s="1366"/>
      <c r="Q100" s="1366"/>
      <c r="R100" s="1636"/>
      <c r="S100" s="1636"/>
      <c r="T100" s="1366"/>
      <c r="U100" s="1366"/>
      <c r="V100" s="1366"/>
      <c r="W100" s="1366"/>
      <c r="X100" s="1636"/>
      <c r="Y100" s="1366"/>
      <c r="Z100" s="1366"/>
      <c r="AA100" s="544"/>
      <c r="AB100" s="1366"/>
      <c r="AC100" s="1366"/>
      <c r="AD100" s="1366"/>
      <c r="AE100" s="1366"/>
      <c r="AF100" s="1366"/>
      <c r="AG100" s="1632"/>
      <c r="AH100" s="622"/>
      <c r="AI100" s="622"/>
      <c r="AJ100" s="622"/>
      <c r="AK100" s="622"/>
      <c r="AL100" s="1641">
        <v>11</v>
      </c>
    </row>
    <row s="1641" customFormat="1" customHeight="1" ht="11.549999999999999">
      <c r="A101" s="987"/>
      <c r="B101" s="987"/>
      <c r="C101" s="987"/>
      <c r="D101" s="987"/>
      <c r="E101" s="987"/>
      <c r="F101" s="1636"/>
      <c r="G101" s="1636"/>
      <c r="H101" s="351"/>
      <c r="N101" s="1641"/>
      <c r="O101" s="1366"/>
      <c r="Q101" s="1366"/>
      <c r="R101" s="1636"/>
      <c r="S101" s="1636"/>
      <c r="T101" s="1366"/>
      <c r="U101" s="1366"/>
      <c r="V101" s="1366"/>
      <c r="W101" s="1366"/>
      <c r="X101" s="1636"/>
      <c r="Y101" s="1366"/>
      <c r="Z101" s="1366"/>
      <c r="AA101" s="544"/>
      <c r="AB101" s="1366"/>
      <c r="AC101" s="1366"/>
      <c r="AD101" s="1366"/>
      <c r="AE101" s="1366"/>
      <c r="AF101" s="1366"/>
      <c r="AG101" s="1632"/>
      <c r="AH101" s="622"/>
      <c r="AI101" s="622"/>
      <c r="AJ101" s="622"/>
      <c r="AK101" s="622"/>
      <c r="AL101" s="1641">
        <v>11</v>
      </c>
    </row>
    <row s="1641" customFormat="1" customHeight="1" ht="11.549999999999999">
      <c r="A102" s="987"/>
      <c r="B102" s="987"/>
      <c r="C102" s="987"/>
      <c r="D102" s="987"/>
      <c r="E102" s="987"/>
      <c r="F102" s="1636"/>
      <c r="G102" s="1636"/>
      <c r="H102" s="351"/>
      <c r="N102" s="1641"/>
      <c r="O102" s="1366"/>
      <c r="Q102" s="1366"/>
      <c r="R102" s="1636"/>
      <c r="S102" s="1636"/>
      <c r="T102" s="1366"/>
      <c r="U102" s="1366"/>
      <c r="V102" s="1366"/>
      <c r="W102" s="1366"/>
      <c r="X102" s="1636"/>
      <c r="Y102" s="1366"/>
      <c r="Z102" s="1366"/>
      <c r="AA102" s="544"/>
      <c r="AB102" s="1366"/>
      <c r="AC102" s="1366"/>
      <c r="AD102" s="1366"/>
      <c r="AE102" s="1366"/>
      <c r="AF102" s="1366"/>
      <c r="AG102" s="1632"/>
      <c r="AH102" s="622"/>
      <c r="AI102" s="622"/>
      <c r="AJ102" s="622"/>
      <c r="AK102" s="622"/>
      <c r="AL102" s="1641">
        <v>11</v>
      </c>
    </row>
    <row s="1641" customFormat="1" customHeight="1" ht="11.549999999999999">
      <c r="A103" s="987"/>
      <c r="B103" s="987"/>
      <c r="C103" s="987"/>
      <c r="D103" s="987"/>
      <c r="E103" s="987"/>
      <c r="F103" s="1636"/>
      <c r="G103" s="1636"/>
      <c r="H103" s="351"/>
      <c r="N103" s="1641"/>
      <c r="O103" s="1366"/>
      <c r="Q103" s="1366"/>
      <c r="R103" s="1636"/>
      <c r="S103" s="1636"/>
      <c r="T103" s="1366"/>
      <c r="U103" s="1366"/>
      <c r="V103" s="1366"/>
      <c r="W103" s="1366"/>
      <c r="X103" s="1636"/>
      <c r="Y103" s="1366"/>
      <c r="Z103" s="1366"/>
      <c r="AA103" s="544"/>
      <c r="AB103" s="1366"/>
      <c r="AC103" s="1366"/>
      <c r="AD103" s="1366"/>
      <c r="AE103" s="1366"/>
      <c r="AF103" s="1366"/>
      <c r="AG103" s="1632"/>
      <c r="AH103" s="622"/>
      <c r="AI103" s="622"/>
      <c r="AJ103" s="622"/>
      <c r="AK103" s="622"/>
      <c r="AL103" s="1641">
        <v>11</v>
      </c>
    </row>
    <row s="1641" customFormat="1" customHeight="1" ht="11.549999999999999">
      <c r="A104" s="987"/>
      <c r="B104" s="987"/>
      <c r="C104" s="987"/>
      <c r="D104" s="987"/>
      <c r="E104" s="987"/>
      <c r="F104" s="1636"/>
      <c r="G104" s="1636"/>
      <c r="H104" s="351"/>
      <c r="N104" s="1641"/>
      <c r="O104" s="1366"/>
      <c r="Q104" s="1366"/>
      <c r="R104" s="1636"/>
      <c r="S104" s="1636"/>
      <c r="T104" s="1366"/>
      <c r="U104" s="1366"/>
      <c r="V104" s="1366"/>
      <c r="W104" s="1366"/>
      <c r="X104" s="1636"/>
      <c r="Y104" s="1366"/>
      <c r="Z104" s="1366"/>
      <c r="AA104" s="544"/>
      <c r="AB104" s="1366"/>
      <c r="AC104" s="1366"/>
      <c r="AD104" s="1366"/>
      <c r="AE104" s="1366"/>
      <c r="AF104" s="1366"/>
      <c r="AG104" s="1632"/>
      <c r="AH104" s="622"/>
      <c r="AI104" s="622"/>
      <c r="AJ104" s="622"/>
      <c r="AK104" s="622"/>
      <c r="AL104" s="1641">
        <v>11</v>
      </c>
    </row>
    <row s="1641" customFormat="1" customHeight="1" ht="11.549999999999999">
      <c r="A105" s="987"/>
      <c r="B105" s="987"/>
      <c r="C105" s="987"/>
      <c r="D105" s="987"/>
      <c r="E105" s="987"/>
      <c r="F105" s="1636"/>
      <c r="G105" s="1636"/>
      <c r="H105" s="351"/>
      <c r="N105" s="1641"/>
      <c r="O105" s="1366"/>
      <c r="Q105" s="1366"/>
      <c r="R105" s="1636"/>
      <c r="S105" s="1636"/>
      <c r="T105" s="1366"/>
      <c r="U105" s="1366"/>
      <c r="V105" s="1366"/>
      <c r="W105" s="1366"/>
      <c r="X105" s="1636"/>
      <c r="Y105" s="1366"/>
      <c r="Z105" s="1366"/>
      <c r="AA105" s="544"/>
      <c r="AB105" s="1366"/>
      <c r="AC105" s="1366"/>
      <c r="AD105" s="1366"/>
      <c r="AE105" s="1366"/>
      <c r="AF105" s="1366"/>
      <c r="AG105" s="1632"/>
      <c r="AH105" s="622"/>
      <c r="AI105" s="622"/>
      <c r="AJ105" s="622"/>
      <c r="AK105" s="622"/>
      <c r="AL105" s="1641">
        <v>11</v>
      </c>
    </row>
    <row s="1641" customFormat="1" customHeight="1" ht="11.549999999999999">
      <c r="A106" s="987"/>
      <c r="B106" s="987"/>
      <c r="C106" s="987"/>
      <c r="D106" s="987"/>
      <c r="E106" s="987"/>
      <c r="F106" s="1636"/>
      <c r="G106" s="1636"/>
      <c r="H106" s="351"/>
      <c r="N106" s="1641"/>
      <c r="O106" s="1366"/>
      <c r="Q106" s="1366"/>
      <c r="R106" s="1636"/>
      <c r="S106" s="1636"/>
      <c r="T106" s="1366"/>
      <c r="U106" s="1366"/>
      <c r="V106" s="1366"/>
      <c r="W106" s="1366"/>
      <c r="X106" s="1636"/>
      <c r="Y106" s="1366"/>
      <c r="Z106" s="1366"/>
      <c r="AA106" s="544"/>
      <c r="AB106" s="1366"/>
      <c r="AC106" s="1366"/>
      <c r="AD106" s="1366"/>
      <c r="AE106" s="1366"/>
      <c r="AF106" s="1366"/>
      <c r="AG106" s="1632"/>
      <c r="AH106" s="622"/>
      <c r="AI106" s="622"/>
      <c r="AJ106" s="622"/>
      <c r="AK106" s="622"/>
      <c r="AL106" s="1641">
        <v>11</v>
      </c>
    </row>
    <row s="1641" customFormat="1" customHeight="1" ht="11.549999999999999">
      <c r="A107" s="987"/>
      <c r="B107" s="987"/>
      <c r="C107" s="987"/>
      <c r="D107" s="987"/>
      <c r="E107" s="987"/>
      <c r="F107" s="1636"/>
      <c r="G107" s="1636"/>
      <c r="H107" s="351"/>
      <c r="N107" s="1641"/>
      <c r="O107" s="1366"/>
      <c r="Q107" s="1366"/>
      <c r="R107" s="1636"/>
      <c r="S107" s="1636"/>
      <c r="T107" s="1366"/>
      <c r="U107" s="1366"/>
      <c r="V107" s="1366"/>
      <c r="W107" s="1366"/>
      <c r="X107" s="1636"/>
      <c r="Y107" s="1366"/>
      <c r="Z107" s="1366"/>
      <c r="AA107" s="544"/>
      <c r="AB107" s="1366"/>
      <c r="AC107" s="1366"/>
      <c r="AD107" s="1366"/>
      <c r="AE107" s="1366"/>
      <c r="AF107" s="1366"/>
      <c r="AG107" s="1632"/>
      <c r="AH107" s="622"/>
      <c r="AI107" s="622"/>
      <c r="AJ107" s="622"/>
      <c r="AK107" s="622"/>
      <c r="AL107" s="1641">
        <v>11</v>
      </c>
    </row>
    <row s="1641" customFormat="1" customHeight="1" ht="11.549999999999999">
      <c r="A108" s="987"/>
      <c r="B108" s="987"/>
      <c r="C108" s="987"/>
      <c r="D108" s="987"/>
      <c r="E108" s="987"/>
      <c r="F108" s="1636"/>
      <c r="G108" s="1636"/>
      <c r="H108" s="351"/>
      <c r="N108" s="1641"/>
      <c r="O108" s="1366"/>
      <c r="Q108" s="1366"/>
      <c r="R108" s="1636"/>
      <c r="S108" s="1636"/>
      <c r="T108" s="1366"/>
      <c r="U108" s="1366"/>
      <c r="V108" s="1366"/>
      <c r="W108" s="1366"/>
      <c r="X108" s="1636"/>
      <c r="Y108" s="1366"/>
      <c r="Z108" s="1366"/>
      <c r="AA108" s="544"/>
      <c r="AB108" s="1366"/>
      <c r="AC108" s="1366"/>
      <c r="AD108" s="1366"/>
      <c r="AE108" s="1366"/>
      <c r="AF108" s="1366"/>
      <c r="AG108" s="1632"/>
      <c r="AH108" s="622"/>
      <c r="AI108" s="622"/>
      <c r="AJ108" s="622"/>
      <c r="AK108" s="622"/>
      <c r="AL108" s="1641">
        <v>11</v>
      </c>
    </row>
    <row s="1641" customFormat="1" customHeight="1" ht="11.549999999999999">
      <c r="A109" s="987"/>
      <c r="B109" s="987"/>
      <c r="C109" s="987"/>
      <c r="D109" s="987"/>
      <c r="E109" s="987"/>
      <c r="F109" s="1636"/>
      <c r="G109" s="1636"/>
      <c r="H109" s="351"/>
      <c r="N109" s="1641"/>
      <c r="O109" s="1366"/>
      <c r="Q109" s="1366"/>
      <c r="R109" s="1636"/>
      <c r="S109" s="1636"/>
      <c r="T109" s="1366"/>
      <c r="U109" s="1366"/>
      <c r="V109" s="1366"/>
      <c r="W109" s="1366"/>
      <c r="X109" s="1636"/>
      <c r="Y109" s="1366"/>
      <c r="Z109" s="1366"/>
      <c r="AA109" s="544"/>
      <c r="AB109" s="1366"/>
      <c r="AC109" s="1366"/>
      <c r="AD109" s="1366"/>
      <c r="AE109" s="1366"/>
      <c r="AF109" s="1366"/>
      <c r="AG109" s="1632"/>
      <c r="AH109" s="622"/>
      <c r="AI109" s="622"/>
      <c r="AJ109" s="622"/>
      <c r="AK109" s="622"/>
      <c r="AL109" s="1641">
        <v>11</v>
      </c>
    </row>
    <row s="1641" customFormat="1" customHeight="1" ht="11.549999999999999">
      <c r="A110" s="987"/>
      <c r="B110" s="987"/>
      <c r="C110" s="987"/>
      <c r="D110" s="987"/>
      <c r="E110" s="987"/>
      <c r="F110" s="1636"/>
      <c r="G110" s="1636"/>
      <c r="H110" s="351"/>
      <c r="N110" s="1641"/>
      <c r="O110" s="1366"/>
      <c r="Q110" s="1366"/>
      <c r="R110" s="1636"/>
      <c r="S110" s="1636"/>
      <c r="T110" s="1366"/>
      <c r="U110" s="1366"/>
      <c r="V110" s="1366"/>
      <c r="W110" s="1366"/>
      <c r="X110" s="1636"/>
      <c r="Y110" s="1366"/>
      <c r="Z110" s="1366"/>
      <c r="AA110" s="544"/>
      <c r="AB110" s="1366"/>
      <c r="AC110" s="1366"/>
      <c r="AD110" s="1366"/>
      <c r="AE110" s="1366"/>
      <c r="AF110" s="1366"/>
      <c r="AG110" s="1632"/>
      <c r="AH110" s="622"/>
      <c r="AI110" s="622"/>
      <c r="AJ110" s="622"/>
      <c r="AK110" s="622"/>
      <c r="AL110" s="1641">
        <v>11</v>
      </c>
    </row>
    <row s="1641" customFormat="1" customHeight="1" ht="11.549999999999999">
      <c r="A111" s="987"/>
      <c r="B111" s="987"/>
      <c r="C111" s="987"/>
      <c r="D111" s="987"/>
      <c r="E111" s="987"/>
      <c r="F111" s="1636"/>
      <c r="G111" s="1636"/>
      <c r="H111" s="351"/>
      <c r="N111" s="1641"/>
      <c r="O111" s="1366"/>
      <c r="Q111" s="1366"/>
      <c r="R111" s="1636"/>
      <c r="S111" s="1636"/>
      <c r="T111" s="1366"/>
      <c r="U111" s="1366"/>
      <c r="V111" s="1366"/>
      <c r="W111" s="1366"/>
      <c r="X111" s="1636"/>
      <c r="Y111" s="1366"/>
      <c r="Z111" s="1366"/>
      <c r="AA111" s="544"/>
      <c r="AB111" s="1366"/>
      <c r="AC111" s="1366"/>
      <c r="AD111" s="1366"/>
      <c r="AE111" s="1366"/>
      <c r="AF111" s="1366"/>
      <c r="AG111" s="1632"/>
      <c r="AH111" s="622"/>
      <c r="AI111" s="622"/>
      <c r="AJ111" s="622"/>
      <c r="AK111" s="622"/>
      <c r="AL111" s="1641">
        <v>11</v>
      </c>
    </row>
    <row s="1641" customFormat="1" customHeight="1" ht="11.549999999999999">
      <c r="A112" s="987"/>
      <c r="B112" s="987"/>
      <c r="C112" s="987"/>
      <c r="D112" s="987"/>
      <c r="E112" s="987"/>
      <c r="F112" s="1636"/>
      <c r="G112" s="1636"/>
      <c r="H112" s="351"/>
      <c r="N112" s="1641"/>
      <c r="O112" s="1366"/>
      <c r="Q112" s="1366"/>
      <c r="R112" s="1636"/>
      <c r="S112" s="1636"/>
      <c r="T112" s="1366"/>
      <c r="U112" s="1366"/>
      <c r="V112" s="1366"/>
      <c r="W112" s="1366"/>
      <c r="X112" s="1636"/>
      <c r="Y112" s="1366"/>
      <c r="Z112" s="1366"/>
      <c r="AA112" s="544"/>
      <c r="AB112" s="1366"/>
      <c r="AC112" s="1366"/>
      <c r="AD112" s="1366"/>
      <c r="AE112" s="1366"/>
      <c r="AF112" s="1366"/>
      <c r="AG112" s="1632"/>
      <c r="AH112" s="622"/>
      <c r="AI112" s="622"/>
      <c r="AJ112" s="622"/>
      <c r="AK112" s="622"/>
      <c r="AL112" s="1641">
        <v>11</v>
      </c>
    </row>
    <row s="1641" customFormat="1" customHeight="1" ht="11.549999999999999">
      <c r="A113" s="987"/>
      <c r="B113" s="987"/>
      <c r="C113" s="987"/>
      <c r="D113" s="987"/>
      <c r="E113" s="987"/>
      <c r="F113" s="1636"/>
      <c r="G113" s="1636"/>
      <c r="H113" s="351"/>
      <c r="N113" s="1641"/>
      <c r="O113" s="1366"/>
      <c r="Q113" s="1366"/>
      <c r="R113" s="1636"/>
      <c r="S113" s="1636"/>
      <c r="T113" s="1366"/>
      <c r="U113" s="1366"/>
      <c r="V113" s="1366"/>
      <c r="W113" s="1366"/>
      <c r="X113" s="1636"/>
      <c r="Y113" s="1366"/>
      <c r="Z113" s="1366"/>
      <c r="AA113" s="544"/>
      <c r="AB113" s="1366"/>
      <c r="AC113" s="1366"/>
      <c r="AD113" s="1366"/>
      <c r="AE113" s="1366"/>
      <c r="AF113" s="1366"/>
      <c r="AG113" s="1632"/>
      <c r="AH113" s="622"/>
      <c r="AI113" s="622"/>
      <c r="AJ113" s="622"/>
      <c r="AK113" s="622"/>
      <c r="AL113" s="1641">
        <v>11</v>
      </c>
    </row>
    <row s="1641" customFormat="1" customHeight="1" ht="11.549999999999999">
      <c r="A114" s="987"/>
      <c r="B114" s="987"/>
      <c r="C114" s="987"/>
      <c r="D114" s="987"/>
      <c r="E114" s="987"/>
      <c r="F114" s="1636"/>
      <c r="G114" s="1636"/>
      <c r="H114" s="351"/>
      <c r="N114" s="1641"/>
      <c r="O114" s="1366"/>
      <c r="Q114" s="1366"/>
      <c r="R114" s="1636"/>
      <c r="S114" s="1636"/>
      <c r="T114" s="1366"/>
      <c r="U114" s="1366"/>
      <c r="V114" s="1366"/>
      <c r="W114" s="1366"/>
      <c r="X114" s="1636"/>
      <c r="Y114" s="1366"/>
      <c r="Z114" s="1366"/>
      <c r="AA114" s="544"/>
      <c r="AB114" s="1366"/>
      <c r="AC114" s="1366"/>
      <c r="AD114" s="1366"/>
      <c r="AE114" s="1366"/>
      <c r="AF114" s="1366"/>
      <c r="AG114" s="1632"/>
      <c r="AH114" s="622"/>
      <c r="AI114" s="622"/>
      <c r="AJ114" s="622"/>
      <c r="AK114" s="622"/>
      <c r="AL114" s="1641">
        <v>11</v>
      </c>
    </row>
    <row s="1641" customFormat="1" customHeight="1" ht="11.549999999999999">
      <c r="A115" s="987"/>
      <c r="B115" s="987"/>
      <c r="C115" s="987"/>
      <c r="D115" s="987"/>
      <c r="E115" s="987"/>
      <c r="F115" s="1636"/>
      <c r="G115" s="1636"/>
      <c r="H115" s="351"/>
      <c r="N115" s="1641"/>
      <c r="O115" s="1366"/>
      <c r="Q115" s="1366"/>
      <c r="R115" s="1636"/>
      <c r="S115" s="1636"/>
      <c r="T115" s="1366"/>
      <c r="U115" s="1366"/>
      <c r="V115" s="1366"/>
      <c r="W115" s="1366"/>
      <c r="X115" s="1636"/>
      <c r="Y115" s="1366"/>
      <c r="Z115" s="1366"/>
      <c r="AA115" s="544"/>
      <c r="AB115" s="1366"/>
      <c r="AC115" s="1366"/>
      <c r="AD115" s="1366"/>
      <c r="AE115" s="1366"/>
      <c r="AF115" s="1366"/>
      <c r="AG115" s="1632"/>
      <c r="AH115" s="622"/>
      <c r="AI115" s="622"/>
      <c r="AJ115" s="622"/>
      <c r="AK115" s="622"/>
      <c r="AL115" s="1641">
        <v>11</v>
      </c>
    </row>
    <row s="1641" customFormat="1" customHeight="1" ht="11.549999999999999">
      <c r="A116" s="987"/>
      <c r="B116" s="987"/>
      <c r="C116" s="987"/>
      <c r="D116" s="987"/>
      <c r="E116" s="987"/>
      <c r="F116" s="1636"/>
      <c r="G116" s="1636"/>
      <c r="H116" s="351"/>
      <c r="N116" s="1641"/>
      <c r="O116" s="1366"/>
      <c r="Q116" s="1366"/>
      <c r="R116" s="1636"/>
      <c r="S116" s="1636"/>
      <c r="T116" s="1366"/>
      <c r="U116" s="1366"/>
      <c r="V116" s="1366"/>
      <c r="W116" s="1366"/>
      <c r="X116" s="1636"/>
      <c r="Y116" s="1366"/>
      <c r="Z116" s="1366"/>
      <c r="AA116" s="544"/>
      <c r="AB116" s="1366"/>
      <c r="AC116" s="1366"/>
      <c r="AD116" s="1366"/>
      <c r="AE116" s="1366"/>
      <c r="AF116" s="1366"/>
      <c r="AG116" s="1632"/>
      <c r="AH116" s="622"/>
      <c r="AI116" s="622"/>
      <c r="AJ116" s="622"/>
      <c r="AK116" s="622"/>
      <c r="AL116" s="1641">
        <v>11</v>
      </c>
    </row>
    <row s="1641" customFormat="1" customHeight="1" ht="11.549999999999999">
      <c r="A117" s="987"/>
      <c r="B117" s="987"/>
      <c r="C117" s="987"/>
      <c r="D117" s="987"/>
      <c r="E117" s="987"/>
      <c r="F117" s="1636"/>
      <c r="G117" s="1636"/>
      <c r="H117" s="351"/>
      <c r="N117" s="1641"/>
      <c r="O117" s="1366"/>
      <c r="Q117" s="1366"/>
      <c r="R117" s="1636"/>
      <c r="S117" s="1636"/>
      <c r="T117" s="1366"/>
      <c r="U117" s="1366"/>
      <c r="V117" s="1366"/>
      <c r="W117" s="1366"/>
      <c r="X117" s="1636"/>
      <c r="Y117" s="1366"/>
      <c r="Z117" s="1366"/>
      <c r="AA117" s="544"/>
      <c r="AB117" s="1366"/>
      <c r="AC117" s="1366"/>
      <c r="AD117" s="1366"/>
      <c r="AE117" s="1366"/>
      <c r="AF117" s="1366"/>
      <c r="AG117" s="1632"/>
      <c r="AH117" s="622"/>
      <c r="AI117" s="622"/>
      <c r="AJ117" s="622"/>
      <c r="AK117" s="622"/>
      <c r="AL117" s="1641">
        <v>11</v>
      </c>
    </row>
    <row s="1641" customFormat="1" customHeight="1" ht="11.549999999999999">
      <c r="A118" s="987"/>
      <c r="B118" s="987"/>
      <c r="C118" s="987"/>
      <c r="D118" s="987"/>
      <c r="E118" s="987"/>
      <c r="F118" s="1636"/>
      <c r="G118" s="1636"/>
      <c r="H118" s="351"/>
      <c r="N118" s="1641"/>
      <c r="O118" s="1366"/>
      <c r="Q118" s="1366"/>
      <c r="R118" s="1636"/>
      <c r="S118" s="1636"/>
      <c r="T118" s="1366"/>
      <c r="U118" s="1366"/>
      <c r="V118" s="1366"/>
      <c r="W118" s="1366"/>
      <c r="X118" s="1636"/>
      <c r="Y118" s="1366"/>
      <c r="Z118" s="1366"/>
      <c r="AA118" s="544"/>
      <c r="AB118" s="1366"/>
      <c r="AC118" s="1366"/>
      <c r="AD118" s="1366"/>
      <c r="AE118" s="1366"/>
      <c r="AF118" s="1366"/>
      <c r="AG118" s="1632"/>
      <c r="AH118" s="622"/>
      <c r="AI118" s="622"/>
      <c r="AJ118" s="622"/>
      <c r="AK118" s="622"/>
      <c r="AL118" s="1641">
        <v>11</v>
      </c>
    </row>
    <row s="1641" customFormat="1" customHeight="1" ht="11.549999999999999">
      <c r="A119" s="987"/>
      <c r="B119" s="987"/>
      <c r="C119" s="987"/>
      <c r="D119" s="987"/>
      <c r="E119" s="987"/>
      <c r="F119" s="1636"/>
      <c r="G119" s="1636"/>
      <c r="H119" s="351"/>
      <c r="N119" s="1641"/>
      <c r="O119" s="1366"/>
      <c r="Q119" s="1366"/>
      <c r="R119" s="1636"/>
      <c r="S119" s="1636"/>
      <c r="T119" s="1366"/>
      <c r="U119" s="1366"/>
      <c r="V119" s="1366"/>
      <c r="W119" s="1366"/>
      <c r="X119" s="1636"/>
      <c r="Y119" s="1366"/>
      <c r="Z119" s="1366"/>
      <c r="AA119" s="544"/>
      <c r="AB119" s="1366"/>
      <c r="AC119" s="1366"/>
      <c r="AD119" s="1366"/>
      <c r="AE119" s="1366"/>
      <c r="AF119" s="1366"/>
      <c r="AG119" s="1632"/>
      <c r="AH119" s="622"/>
      <c r="AI119" s="622"/>
      <c r="AJ119" s="622"/>
      <c r="AK119" s="622"/>
      <c r="AL119" s="1641">
        <v>11</v>
      </c>
    </row>
    <row s="1641" customFormat="1" customHeight="1" ht="11.549999999999999">
      <c r="A120" s="987"/>
      <c r="B120" s="987"/>
      <c r="C120" s="987"/>
      <c r="D120" s="987"/>
      <c r="E120" s="987"/>
      <c r="F120" s="1636"/>
      <c r="G120" s="1636"/>
      <c r="H120" s="351"/>
      <c r="N120" s="1641"/>
      <c r="O120" s="1366"/>
      <c r="Q120" s="1366"/>
      <c r="R120" s="1636"/>
      <c r="S120" s="1636"/>
      <c r="T120" s="1366"/>
      <c r="U120" s="1366"/>
      <c r="V120" s="1366"/>
      <c r="W120" s="1366"/>
      <c r="X120" s="1636"/>
      <c r="Y120" s="1366"/>
      <c r="Z120" s="1366"/>
      <c r="AA120" s="544"/>
      <c r="AB120" s="1366"/>
      <c r="AC120" s="1366"/>
      <c r="AD120" s="1366"/>
      <c r="AE120" s="1366"/>
      <c r="AF120" s="1366"/>
      <c r="AG120" s="1632"/>
      <c r="AH120" s="622"/>
      <c r="AI120" s="622"/>
      <c r="AJ120" s="622"/>
      <c r="AK120" s="622"/>
      <c r="AL120" s="1641">
        <v>11</v>
      </c>
    </row>
    <row s="1641" customFormat="1" customHeight="1" ht="11.549999999999999">
      <c r="A121" s="987"/>
      <c r="B121" s="987"/>
      <c r="C121" s="987"/>
      <c r="D121" s="987"/>
      <c r="E121" s="987"/>
      <c r="F121" s="1636"/>
      <c r="G121" s="1636"/>
      <c r="H121" s="351"/>
      <c r="N121" s="1641"/>
      <c r="O121" s="1366"/>
      <c r="Q121" s="1366"/>
      <c r="R121" s="1636"/>
      <c r="S121" s="1636"/>
      <c r="T121" s="1366"/>
      <c r="U121" s="1366"/>
      <c r="V121" s="1366"/>
      <c r="W121" s="1366"/>
      <c r="X121" s="1636"/>
      <c r="Y121" s="1366"/>
      <c r="Z121" s="1366"/>
      <c r="AA121" s="544"/>
      <c r="AB121" s="1366"/>
      <c r="AC121" s="1366"/>
      <c r="AD121" s="1366"/>
      <c r="AE121" s="1366"/>
      <c r="AF121" s="1366"/>
      <c r="AG121" s="1632"/>
      <c r="AH121" s="622"/>
      <c r="AI121" s="622"/>
      <c r="AJ121" s="622"/>
      <c r="AK121" s="622"/>
      <c r="AL121" s="1641">
        <v>11</v>
      </c>
    </row>
    <row s="1641" customFormat="1" customHeight="1" ht="11.549999999999999">
      <c r="A122" s="987"/>
      <c r="B122" s="987"/>
      <c r="C122" s="987"/>
      <c r="D122" s="987"/>
      <c r="E122" s="987"/>
      <c r="F122" s="1636"/>
      <c r="G122" s="1636"/>
      <c r="H122" s="351"/>
      <c r="N122" s="1641"/>
      <c r="O122" s="1366"/>
      <c r="Q122" s="1366"/>
      <c r="R122" s="1636"/>
      <c r="S122" s="1636"/>
      <c r="T122" s="1366"/>
      <c r="U122" s="1366"/>
      <c r="V122" s="1366"/>
      <c r="W122" s="1366"/>
      <c r="X122" s="1636"/>
      <c r="Y122" s="1366"/>
      <c r="Z122" s="1366"/>
      <c r="AA122" s="544"/>
      <c r="AB122" s="1366"/>
      <c r="AC122" s="1366"/>
      <c r="AD122" s="1366"/>
      <c r="AE122" s="1366"/>
      <c r="AF122" s="1366"/>
      <c r="AG122" s="1632"/>
      <c r="AH122" s="622"/>
      <c r="AI122" s="622"/>
      <c r="AJ122" s="622"/>
      <c r="AK122" s="622"/>
      <c r="AL122" s="1641">
        <v>11</v>
      </c>
    </row>
    <row s="1641" customFormat="1" customHeight="1" ht="11.549999999999999">
      <c r="A123" s="987"/>
      <c r="B123" s="987"/>
      <c r="C123" s="987"/>
      <c r="D123" s="987"/>
      <c r="E123" s="987"/>
      <c r="F123" s="1636"/>
      <c r="G123" s="1636"/>
      <c r="H123" s="351"/>
      <c r="N123" s="1641"/>
      <c r="O123" s="1366"/>
      <c r="Q123" s="1366"/>
      <c r="R123" s="1636"/>
      <c r="S123" s="1636"/>
      <c r="T123" s="1366"/>
      <c r="U123" s="1366"/>
      <c r="V123" s="1366"/>
      <c r="W123" s="1366"/>
      <c r="X123" s="1636"/>
      <c r="Y123" s="1366"/>
      <c r="Z123" s="1366"/>
      <c r="AA123" s="544"/>
      <c r="AB123" s="1366"/>
      <c r="AC123" s="1366"/>
      <c r="AD123" s="1366"/>
      <c r="AE123" s="1366"/>
      <c r="AF123" s="1366"/>
      <c r="AG123" s="1632"/>
      <c r="AH123" s="622"/>
      <c r="AI123" s="622"/>
      <c r="AJ123" s="622"/>
      <c r="AK123" s="622"/>
      <c r="AL123" s="1641">
        <v>11</v>
      </c>
    </row>
    <row s="1641" customFormat="1" customHeight="1" ht="11.549999999999999">
      <c r="A124" s="987"/>
      <c r="B124" s="987"/>
      <c r="C124" s="987"/>
      <c r="D124" s="987"/>
      <c r="E124" s="987"/>
      <c r="F124" s="1636"/>
      <c r="G124" s="1636"/>
      <c r="H124" s="351"/>
      <c r="N124" s="1641"/>
      <c r="O124" s="1366"/>
      <c r="Q124" s="1366"/>
      <c r="R124" s="1636"/>
      <c r="S124" s="1636"/>
      <c r="T124" s="1366"/>
      <c r="U124" s="1366"/>
      <c r="V124" s="1366"/>
      <c r="W124" s="1366"/>
      <c r="X124" s="1636"/>
      <c r="Y124" s="1366"/>
      <c r="Z124" s="1366"/>
      <c r="AA124" s="544"/>
      <c r="AB124" s="1366"/>
      <c r="AC124" s="1366"/>
      <c r="AD124" s="1366"/>
      <c r="AE124" s="1366"/>
      <c r="AF124" s="1366"/>
      <c r="AG124" s="1632"/>
      <c r="AH124" s="622"/>
      <c r="AI124" s="622"/>
      <c r="AJ124" s="622"/>
      <c r="AK124" s="622"/>
      <c r="AL124" s="1641">
        <v>11</v>
      </c>
    </row>
    <row s="1641" customFormat="1" customHeight="1" ht="11.549999999999999">
      <c r="A125" s="987"/>
      <c r="B125" s="987"/>
      <c r="C125" s="987"/>
      <c r="D125" s="987"/>
      <c r="E125" s="987"/>
      <c r="F125" s="1636"/>
      <c r="G125" s="1636"/>
      <c r="H125" s="351"/>
      <c r="N125" s="1641"/>
      <c r="O125" s="1366"/>
      <c r="Q125" s="1366"/>
      <c r="R125" s="1636"/>
      <c r="S125" s="1636"/>
      <c r="T125" s="1366"/>
      <c r="U125" s="1366"/>
      <c r="V125" s="1366"/>
      <c r="W125" s="1366"/>
      <c r="X125" s="1636"/>
      <c r="Y125" s="1366"/>
      <c r="Z125" s="1366"/>
      <c r="AA125" s="544"/>
      <c r="AB125" s="1366"/>
      <c r="AC125" s="1366"/>
      <c r="AD125" s="1366"/>
      <c r="AE125" s="1366"/>
      <c r="AF125" s="1366"/>
      <c r="AG125" s="1632"/>
      <c r="AH125" s="622"/>
      <c r="AI125" s="622"/>
      <c r="AJ125" s="622"/>
      <c r="AK125" s="622"/>
      <c r="AL125" s="1641">
        <v>11</v>
      </c>
    </row>
    <row s="1641" customFormat="1" customHeight="1" ht="11.549999999999999">
      <c r="A126" s="987"/>
      <c r="B126" s="987"/>
      <c r="C126" s="987"/>
      <c r="D126" s="987"/>
      <c r="E126" s="987"/>
      <c r="F126" s="1636"/>
      <c r="G126" s="1636"/>
      <c r="H126" s="351"/>
      <c r="N126" s="1641"/>
      <c r="O126" s="1366"/>
      <c r="Q126" s="1366"/>
      <c r="R126" s="1636"/>
      <c r="S126" s="1636"/>
      <c r="T126" s="1366"/>
      <c r="U126" s="1366"/>
      <c r="V126" s="1366"/>
      <c r="W126" s="1366"/>
      <c r="X126" s="1636"/>
      <c r="Y126" s="1366"/>
      <c r="Z126" s="1366"/>
      <c r="AA126" s="544"/>
      <c r="AB126" s="1366"/>
      <c r="AC126" s="1366"/>
      <c r="AD126" s="1366"/>
      <c r="AE126" s="1366"/>
      <c r="AF126" s="1366"/>
      <c r="AG126" s="1632"/>
      <c r="AH126" s="622"/>
      <c r="AI126" s="622"/>
      <c r="AJ126" s="622"/>
      <c r="AK126" s="622"/>
      <c r="AL126" s="1641">
        <v>11</v>
      </c>
    </row>
    <row s="1641" customFormat="1" customHeight="1" ht="11.549999999999999">
      <c r="A127" s="987"/>
      <c r="B127" s="987"/>
      <c r="C127" s="987"/>
      <c r="D127" s="987"/>
      <c r="E127" s="987"/>
      <c r="F127" s="1636"/>
      <c r="G127" s="1636"/>
      <c r="H127" s="351"/>
      <c r="N127" s="1641"/>
      <c r="O127" s="1366"/>
      <c r="Q127" s="1366"/>
      <c r="R127" s="1636"/>
      <c r="S127" s="1636"/>
      <c r="T127" s="1366"/>
      <c r="U127" s="1366"/>
      <c r="V127" s="1366"/>
      <c r="W127" s="1366"/>
      <c r="X127" s="1636"/>
      <c r="Y127" s="1366"/>
      <c r="Z127" s="1366"/>
      <c r="AA127" s="544"/>
      <c r="AB127" s="1366"/>
      <c r="AC127" s="1366"/>
      <c r="AD127" s="1366"/>
      <c r="AE127" s="1366"/>
      <c r="AF127" s="1366"/>
      <c r="AG127" s="1632"/>
      <c r="AH127" s="622"/>
      <c r="AI127" s="622"/>
      <c r="AJ127" s="622"/>
      <c r="AK127" s="622"/>
      <c r="AL127" s="1641">
        <v>11</v>
      </c>
    </row>
    <row s="1641" customFormat="1" customHeight="1" ht="11.549999999999999">
      <c r="A128" s="987"/>
      <c r="B128" s="987"/>
      <c r="C128" s="987"/>
      <c r="D128" s="987"/>
      <c r="E128" s="987"/>
      <c r="F128" s="1636"/>
      <c r="G128" s="1636"/>
      <c r="H128" s="351"/>
      <c r="N128" s="1641"/>
      <c r="O128" s="1366"/>
      <c r="Q128" s="1366"/>
      <c r="R128" s="1636"/>
      <c r="S128" s="1636"/>
      <c r="T128" s="1366"/>
      <c r="U128" s="1366"/>
      <c r="V128" s="1366"/>
      <c r="W128" s="1366"/>
      <c r="X128" s="1636"/>
      <c r="Y128" s="1366"/>
      <c r="Z128" s="1366"/>
      <c r="AA128" s="544"/>
      <c r="AB128" s="1366"/>
      <c r="AC128" s="1366"/>
      <c r="AD128" s="1366"/>
      <c r="AE128" s="1366"/>
      <c r="AF128" s="1366"/>
      <c r="AG128" s="1632"/>
      <c r="AH128" s="622"/>
      <c r="AI128" s="622"/>
      <c r="AJ128" s="622"/>
      <c r="AK128" s="622"/>
      <c r="AL128" s="1641">
        <v>11</v>
      </c>
    </row>
    <row s="1641" customFormat="1" customHeight="1" ht="11.549999999999999">
      <c r="A129" s="987"/>
      <c r="B129" s="987"/>
      <c r="C129" s="987"/>
      <c r="D129" s="987"/>
      <c r="E129" s="987"/>
      <c r="F129" s="1636"/>
      <c r="G129" s="1636"/>
      <c r="H129" s="351"/>
      <c r="N129" s="1641"/>
      <c r="O129" s="1366"/>
      <c r="Q129" s="1366"/>
      <c r="R129" s="1636"/>
      <c r="S129" s="1636"/>
      <c r="T129" s="1366"/>
      <c r="U129" s="1366"/>
      <c r="V129" s="1366"/>
      <c r="W129" s="1366"/>
      <c r="X129" s="1636"/>
      <c r="Y129" s="1366"/>
      <c r="Z129" s="1366"/>
      <c r="AA129" s="544"/>
      <c r="AB129" s="1366"/>
      <c r="AC129" s="1366"/>
      <c r="AD129" s="1366"/>
      <c r="AE129" s="1366"/>
      <c r="AF129" s="1366"/>
      <c r="AG129" s="1632"/>
      <c r="AH129" s="622"/>
      <c r="AI129" s="622"/>
      <c r="AJ129" s="622"/>
      <c r="AK129" s="622"/>
      <c r="AL129" s="1641">
        <v>11</v>
      </c>
    </row>
    <row s="1641" customFormat="1" customHeight="1" ht="11.549999999999999">
      <c r="A130" s="987"/>
      <c r="B130" s="987"/>
      <c r="C130" s="987"/>
      <c r="D130" s="987"/>
      <c r="E130" s="987"/>
      <c r="F130" s="1636"/>
      <c r="G130" s="1636"/>
      <c r="H130" s="351"/>
      <c r="N130" s="1641"/>
      <c r="O130" s="1366"/>
      <c r="Q130" s="1366"/>
      <c r="R130" s="1636"/>
      <c r="S130" s="1636"/>
      <c r="T130" s="1366"/>
      <c r="U130" s="1366"/>
      <c r="V130" s="1366"/>
      <c r="W130" s="1366"/>
      <c r="X130" s="1636"/>
      <c r="Y130" s="1366"/>
      <c r="Z130" s="1366"/>
      <c r="AA130" s="544"/>
      <c r="AB130" s="1366"/>
      <c r="AC130" s="1366"/>
      <c r="AD130" s="1366"/>
      <c r="AE130" s="1366"/>
      <c r="AF130" s="1366"/>
      <c r="AG130" s="1632"/>
      <c r="AH130" s="622"/>
      <c r="AI130" s="622"/>
      <c r="AJ130" s="622"/>
      <c r="AK130" s="622"/>
      <c r="AL130" s="1641">
        <v>11</v>
      </c>
    </row>
    <row s="1641" customFormat="1" customHeight="1" ht="11.549999999999999">
      <c r="A131" s="987"/>
      <c r="B131" s="987"/>
      <c r="C131" s="987"/>
      <c r="D131" s="987"/>
      <c r="E131" s="987"/>
      <c r="F131" s="1636"/>
      <c r="G131" s="1636"/>
      <c r="H131" s="351"/>
      <c r="N131" s="1641"/>
      <c r="O131" s="1366"/>
      <c r="Q131" s="1366"/>
      <c r="R131" s="1636"/>
      <c r="S131" s="1636"/>
      <c r="T131" s="1366"/>
      <c r="U131" s="1366"/>
      <c r="V131" s="1366"/>
      <c r="W131" s="1366"/>
      <c r="X131" s="1636"/>
      <c r="Y131" s="1366"/>
      <c r="Z131" s="1366"/>
      <c r="AA131" s="544"/>
      <c r="AB131" s="1366"/>
      <c r="AC131" s="1366"/>
      <c r="AD131" s="1366"/>
      <c r="AE131" s="1366"/>
      <c r="AF131" s="1366"/>
      <c r="AG131" s="1632"/>
      <c r="AH131" s="622"/>
      <c r="AI131" s="622"/>
      <c r="AJ131" s="622"/>
      <c r="AK131" s="622"/>
      <c r="AL131" s="1641">
        <v>11</v>
      </c>
    </row>
    <row s="1641" customFormat="1" customHeight="1" ht="11.549999999999999">
      <c r="A132" s="987"/>
      <c r="B132" s="987"/>
      <c r="C132" s="987"/>
      <c r="D132" s="987"/>
      <c r="E132" s="987"/>
      <c r="F132" s="1636"/>
      <c r="G132" s="1636"/>
      <c r="H132" s="351"/>
      <c r="N132" s="1641"/>
      <c r="O132" s="1366"/>
      <c r="Q132" s="1366"/>
      <c r="R132" s="1636"/>
      <c r="S132" s="1636"/>
      <c r="T132" s="1366"/>
      <c r="U132" s="1366"/>
      <c r="V132" s="1366"/>
      <c r="W132" s="1366"/>
      <c r="X132" s="1636"/>
      <c r="Y132" s="1366"/>
      <c r="Z132" s="1366"/>
      <c r="AA132" s="544"/>
      <c r="AB132" s="1366"/>
      <c r="AC132" s="1366"/>
      <c r="AD132" s="1366"/>
      <c r="AE132" s="1366"/>
      <c r="AF132" s="1366"/>
      <c r="AG132" s="1632"/>
      <c r="AH132" s="622"/>
      <c r="AI132" s="622"/>
      <c r="AJ132" s="622"/>
      <c r="AK132" s="622"/>
      <c r="AL132" s="1641">
        <v>11</v>
      </c>
    </row>
    <row s="1641" customFormat="1" customHeight="1" ht="11.549999999999999">
      <c r="A133" s="987"/>
      <c r="B133" s="987"/>
      <c r="C133" s="987"/>
      <c r="D133" s="987"/>
      <c r="E133" s="987"/>
      <c r="F133" s="1636"/>
      <c r="G133" s="1636"/>
      <c r="H133" s="351"/>
      <c r="N133" s="1641"/>
      <c r="O133" s="1366"/>
      <c r="Q133" s="1366"/>
      <c r="R133" s="1636"/>
      <c r="S133" s="1636"/>
      <c r="T133" s="1366"/>
      <c r="U133" s="1366"/>
      <c r="V133" s="1366"/>
      <c r="W133" s="1366"/>
      <c r="X133" s="1636"/>
      <c r="Y133" s="1366"/>
      <c r="Z133" s="1366"/>
      <c r="AA133" s="544"/>
      <c r="AB133" s="1366"/>
      <c r="AC133" s="1366"/>
      <c r="AD133" s="1366"/>
      <c r="AE133" s="1366"/>
      <c r="AF133" s="1366"/>
      <c r="AG133" s="1632"/>
      <c r="AH133" s="622"/>
      <c r="AI133" s="622"/>
      <c r="AJ133" s="622"/>
      <c r="AK133" s="622"/>
      <c r="AL133" s="1641">
        <v>11</v>
      </c>
    </row>
    <row s="1641" customFormat="1" customHeight="1" ht="11.549999999999999">
      <c r="A134" s="987"/>
      <c r="B134" s="987"/>
      <c r="C134" s="987"/>
      <c r="D134" s="987"/>
      <c r="E134" s="987"/>
      <c r="F134" s="1636"/>
      <c r="G134" s="1636"/>
      <c r="H134" s="351"/>
      <c r="N134" s="1641"/>
      <c r="O134" s="1366"/>
      <c r="Q134" s="1366"/>
      <c r="R134" s="1636"/>
      <c r="S134" s="1636"/>
      <c r="T134" s="1366"/>
      <c r="U134" s="1366"/>
      <c r="V134" s="1366"/>
      <c r="W134" s="1366"/>
      <c r="X134" s="1636"/>
      <c r="Y134" s="1366"/>
      <c r="Z134" s="1366"/>
      <c r="AA134" s="544"/>
      <c r="AB134" s="1366"/>
      <c r="AC134" s="1366"/>
      <c r="AD134" s="1366"/>
      <c r="AE134" s="1366"/>
      <c r="AF134" s="1366"/>
      <c r="AG134" s="1632"/>
      <c r="AH134" s="622"/>
      <c r="AI134" s="622"/>
      <c r="AJ134" s="622"/>
      <c r="AK134" s="622"/>
      <c r="AL134" s="1641">
        <v>11</v>
      </c>
    </row>
    <row s="1641" customFormat="1" customHeight="1" ht="11.549999999999999">
      <c r="A135" s="987"/>
      <c r="B135" s="987"/>
      <c r="C135" s="987"/>
      <c r="D135" s="987"/>
      <c r="E135" s="987"/>
      <c r="F135" s="1636"/>
      <c r="G135" s="1636"/>
      <c r="H135" s="351"/>
      <c r="N135" s="1641"/>
      <c r="O135" s="1366"/>
      <c r="Q135" s="1366"/>
      <c r="R135" s="1636"/>
      <c r="S135" s="1636"/>
      <c r="T135" s="1366"/>
      <c r="U135" s="1366"/>
      <c r="V135" s="1366"/>
      <c r="W135" s="1366"/>
      <c r="X135" s="1636"/>
      <c r="Y135" s="1366"/>
      <c r="Z135" s="1366"/>
      <c r="AA135" s="544"/>
      <c r="AB135" s="1366"/>
      <c r="AC135" s="1366"/>
      <c r="AD135" s="1366"/>
      <c r="AE135" s="1366"/>
      <c r="AF135" s="1366"/>
      <c r="AG135" s="1632"/>
      <c r="AH135" s="622"/>
      <c r="AI135" s="622"/>
      <c r="AJ135" s="622"/>
      <c r="AK135" s="622"/>
      <c r="AL135" s="1641">
        <v>11</v>
      </c>
    </row>
    <row s="1641" customFormat="1" customHeight="1" ht="11.549999999999999">
      <c r="A136" s="987"/>
      <c r="B136" s="987"/>
      <c r="C136" s="987"/>
      <c r="D136" s="987"/>
      <c r="E136" s="987"/>
      <c r="F136" s="1636"/>
      <c r="G136" s="1636"/>
      <c r="H136" s="351"/>
      <c r="N136" s="1641"/>
      <c r="O136" s="1366"/>
      <c r="Q136" s="1366"/>
      <c r="R136" s="1636"/>
      <c r="S136" s="1636"/>
      <c r="T136" s="1366"/>
      <c r="U136" s="1366"/>
      <c r="V136" s="1366"/>
      <c r="W136" s="1366"/>
      <c r="X136" s="1636"/>
      <c r="Y136" s="1366"/>
      <c r="Z136" s="1366"/>
      <c r="AA136" s="544"/>
      <c r="AB136" s="1366"/>
      <c r="AC136" s="1366"/>
      <c r="AD136" s="1366"/>
      <c r="AE136" s="1366"/>
      <c r="AF136" s="1366"/>
      <c r="AG136" s="1632"/>
      <c r="AH136" s="622"/>
      <c r="AI136" s="622"/>
      <c r="AJ136" s="622"/>
      <c r="AK136" s="622"/>
      <c r="AL136" s="1641">
        <v>11</v>
      </c>
    </row>
    <row s="1641" customFormat="1" customHeight="1" ht="11.549999999999999">
      <c r="A137" s="987"/>
      <c r="B137" s="987"/>
      <c r="C137" s="987"/>
      <c r="D137" s="987"/>
      <c r="E137" s="987"/>
      <c r="F137" s="1636"/>
      <c r="G137" s="1636"/>
      <c r="H137" s="351"/>
      <c r="N137" s="1641"/>
      <c r="O137" s="1366"/>
      <c r="Q137" s="1366"/>
      <c r="R137" s="1636"/>
      <c r="S137" s="1636"/>
      <c r="T137" s="1366"/>
      <c r="U137" s="1366"/>
      <c r="V137" s="1366"/>
      <c r="W137" s="1366"/>
      <c r="X137" s="1636"/>
      <c r="Y137" s="1366"/>
      <c r="Z137" s="1366"/>
      <c r="AA137" s="544"/>
      <c r="AB137" s="1366"/>
      <c r="AC137" s="1366"/>
      <c r="AD137" s="1366"/>
      <c r="AE137" s="1366"/>
      <c r="AF137" s="1366"/>
      <c r="AG137" s="1632"/>
      <c r="AH137" s="622"/>
      <c r="AI137" s="622"/>
      <c r="AJ137" s="622"/>
      <c r="AK137" s="622"/>
      <c r="AL137" s="1641">
        <v>11</v>
      </c>
    </row>
    <row s="1641" customFormat="1" customHeight="1" ht="11.549999999999999">
      <c r="A138" s="987"/>
      <c r="B138" s="987"/>
      <c r="C138" s="987"/>
      <c r="D138" s="987"/>
      <c r="E138" s="987"/>
      <c r="F138" s="1636"/>
      <c r="G138" s="1636"/>
      <c r="H138" s="351"/>
      <c r="N138" s="1641"/>
      <c r="O138" s="1366"/>
      <c r="Q138" s="1366"/>
      <c r="R138" s="1636"/>
      <c r="S138" s="1636"/>
      <c r="T138" s="1366"/>
      <c r="U138" s="1366"/>
      <c r="V138" s="1366"/>
      <c r="W138" s="1366"/>
      <c r="X138" s="1636"/>
      <c r="Y138" s="1366"/>
      <c r="Z138" s="1366"/>
      <c r="AA138" s="544"/>
      <c r="AB138" s="1366"/>
      <c r="AC138" s="1366"/>
      <c r="AD138" s="1366"/>
      <c r="AE138" s="1366"/>
      <c r="AF138" s="1366"/>
      <c r="AG138" s="1632"/>
      <c r="AH138" s="622"/>
      <c r="AI138" s="622"/>
      <c r="AJ138" s="622"/>
      <c r="AK138" s="622"/>
      <c r="AL138" s="1641">
        <v>11</v>
      </c>
    </row>
    <row s="1641" customFormat="1" customHeight="1" ht="11.549999999999999">
      <c r="A139" s="987"/>
      <c r="B139" s="987"/>
      <c r="C139" s="987"/>
      <c r="D139" s="987"/>
      <c r="E139" s="987"/>
      <c r="F139" s="1636"/>
      <c r="G139" s="1636"/>
      <c r="H139" s="351"/>
      <c r="N139" s="1641"/>
      <c r="O139" s="1366"/>
      <c r="Q139" s="1366"/>
      <c r="R139" s="1636"/>
      <c r="S139" s="1636"/>
      <c r="T139" s="1366"/>
      <c r="U139" s="1366"/>
      <c r="V139" s="1366"/>
      <c r="W139" s="1366"/>
      <c r="X139" s="1636"/>
      <c r="Y139" s="1366"/>
      <c r="Z139" s="1366"/>
      <c r="AA139" s="544"/>
      <c r="AB139" s="1366"/>
      <c r="AC139" s="1366"/>
      <c r="AD139" s="1366"/>
      <c r="AE139" s="1366"/>
      <c r="AF139" s="1366"/>
      <c r="AG139" s="1632"/>
      <c r="AH139" s="622"/>
      <c r="AI139" s="622"/>
      <c r="AJ139" s="622"/>
      <c r="AK139" s="622"/>
      <c r="AL139" s="1641">
        <v>11</v>
      </c>
    </row>
    <row s="1641" customFormat="1" customHeight="1" ht="11.549999999999999">
      <c r="A140" s="987"/>
      <c r="B140" s="987"/>
      <c r="C140" s="987"/>
      <c r="D140" s="987"/>
      <c r="E140" s="987"/>
      <c r="F140" s="1636"/>
      <c r="G140" s="1636"/>
      <c r="H140" s="351"/>
      <c r="N140" s="1641"/>
      <c r="O140" s="1366"/>
      <c r="Q140" s="1366"/>
      <c r="R140" s="1636"/>
      <c r="S140" s="1636"/>
      <c r="T140" s="1366"/>
      <c r="U140" s="1366"/>
      <c r="V140" s="1366"/>
      <c r="W140" s="1366"/>
      <c r="X140" s="1636"/>
      <c r="Y140" s="1366"/>
      <c r="Z140" s="1366"/>
      <c r="AA140" s="544"/>
      <c r="AB140" s="1366"/>
      <c r="AC140" s="1366"/>
      <c r="AD140" s="1366"/>
      <c r="AE140" s="1366"/>
      <c r="AF140" s="1366"/>
      <c r="AG140" s="1632"/>
      <c r="AH140" s="622"/>
      <c r="AI140" s="622"/>
      <c r="AJ140" s="622"/>
      <c r="AK140" s="622"/>
      <c r="AL140" s="1641">
        <v>11</v>
      </c>
    </row>
    <row s="1641" customFormat="1" customHeight="1" ht="11.549999999999999">
      <c r="A141" s="987"/>
      <c r="B141" s="987"/>
      <c r="C141" s="987"/>
      <c r="D141" s="987"/>
      <c r="E141" s="987"/>
      <c r="F141" s="1636"/>
      <c r="G141" s="1636"/>
      <c r="H141" s="351"/>
      <c r="N141" s="1641"/>
      <c r="O141" s="1366"/>
      <c r="Q141" s="1366"/>
      <c r="R141" s="1636"/>
      <c r="S141" s="1636"/>
      <c r="T141" s="1366"/>
      <c r="U141" s="1366"/>
      <c r="V141" s="1366"/>
      <c r="W141" s="1366"/>
      <c r="X141" s="1636"/>
      <c r="Y141" s="1366"/>
      <c r="Z141" s="1366"/>
      <c r="AA141" s="544"/>
      <c r="AB141" s="1366"/>
      <c r="AC141" s="1366"/>
      <c r="AD141" s="1366"/>
      <c r="AE141" s="1366"/>
      <c r="AF141" s="1366"/>
      <c r="AG141" s="1632"/>
      <c r="AH141" s="622"/>
      <c r="AI141" s="622"/>
      <c r="AJ141" s="622"/>
      <c r="AK141" s="622"/>
      <c r="AL141" s="1641">
        <v>11</v>
      </c>
    </row>
    <row s="1641" customFormat="1" customHeight="1" ht="11.549999999999999">
      <c r="A142" s="987"/>
      <c r="B142" s="987"/>
      <c r="C142" s="987"/>
      <c r="D142" s="987"/>
      <c r="E142" s="987"/>
      <c r="F142" s="1636"/>
      <c r="G142" s="1636"/>
      <c r="H142" s="351"/>
      <c r="N142" s="1641"/>
      <c r="O142" s="1366"/>
      <c r="Q142" s="1366"/>
      <c r="R142" s="1636"/>
      <c r="S142" s="1636"/>
      <c r="T142" s="1366"/>
      <c r="U142" s="1366"/>
      <c r="V142" s="1366"/>
      <c r="W142" s="1366"/>
      <c r="X142" s="1636"/>
      <c r="Y142" s="1366"/>
      <c r="Z142" s="1366"/>
      <c r="AA142" s="544"/>
      <c r="AB142" s="1366"/>
      <c r="AC142" s="1366"/>
      <c r="AD142" s="1366"/>
      <c r="AE142" s="1366"/>
      <c r="AF142" s="1366"/>
      <c r="AG142" s="1632"/>
      <c r="AH142" s="622"/>
      <c r="AI142" s="622"/>
      <c r="AJ142" s="622"/>
      <c r="AK142" s="622"/>
      <c r="AL142" s="1641">
        <v>11</v>
      </c>
    </row>
    <row s="1641" customFormat="1" customHeight="1" ht="11.549999999999999">
      <c r="A143" s="987"/>
      <c r="B143" s="987"/>
      <c r="C143" s="987"/>
      <c r="D143" s="987"/>
      <c r="E143" s="987"/>
      <c r="F143" s="1636"/>
      <c r="G143" s="1636"/>
      <c r="H143" s="351"/>
      <c r="N143" s="1641"/>
      <c r="O143" s="1366"/>
      <c r="Q143" s="1366"/>
      <c r="R143" s="1636"/>
      <c r="S143" s="1636"/>
      <c r="T143" s="1366"/>
      <c r="U143" s="1366"/>
      <c r="V143" s="1366"/>
      <c r="W143" s="1366"/>
      <c r="X143" s="1636"/>
      <c r="Y143" s="1366"/>
      <c r="Z143" s="1366"/>
      <c r="AA143" s="544"/>
      <c r="AB143" s="1366"/>
      <c r="AC143" s="1366"/>
      <c r="AD143" s="1366"/>
      <c r="AE143" s="1366"/>
      <c r="AF143" s="1366"/>
      <c r="AG143" s="1632"/>
      <c r="AH143" s="622"/>
      <c r="AI143" s="622"/>
      <c r="AJ143" s="622"/>
      <c r="AK143" s="622"/>
      <c r="AL143" s="1641">
        <v>11</v>
      </c>
    </row>
    <row s="1641" customFormat="1" customHeight="1" ht="11.549999999999999">
      <c r="A144" s="987"/>
      <c r="B144" s="987"/>
      <c r="C144" s="987"/>
      <c r="D144" s="987"/>
      <c r="E144" s="987"/>
      <c r="F144" s="1636"/>
      <c r="G144" s="1636"/>
      <c r="H144" s="351"/>
      <c r="N144" s="1641"/>
      <c r="O144" s="1366"/>
      <c r="Q144" s="1366"/>
      <c r="R144" s="1636"/>
      <c r="S144" s="1636"/>
      <c r="T144" s="1366"/>
      <c r="U144" s="1366"/>
      <c r="V144" s="1366"/>
      <c r="W144" s="1366"/>
      <c r="X144" s="1636"/>
      <c r="Y144" s="1366"/>
      <c r="Z144" s="1366"/>
      <c r="AA144" s="544"/>
      <c r="AB144" s="1366"/>
      <c r="AC144" s="1366"/>
      <c r="AD144" s="1366"/>
      <c r="AE144" s="1366"/>
      <c r="AF144" s="1366"/>
      <c r="AG144" s="1632"/>
      <c r="AH144" s="622"/>
      <c r="AI144" s="622"/>
      <c r="AJ144" s="622"/>
      <c r="AK144" s="622"/>
      <c r="AL144" s="1641">
        <v>11</v>
      </c>
    </row>
    <row s="1641" customFormat="1" customHeight="1" ht="11.549999999999999">
      <c r="A145" s="987"/>
      <c r="B145" s="987"/>
      <c r="C145" s="987"/>
      <c r="D145" s="987"/>
      <c r="E145" s="987"/>
      <c r="F145" s="1636"/>
      <c r="G145" s="1636"/>
      <c r="H145" s="351"/>
      <c r="N145" s="1641"/>
      <c r="O145" s="1366"/>
      <c r="Q145" s="1366"/>
      <c r="R145" s="1636"/>
      <c r="S145" s="1636"/>
      <c r="T145" s="1366"/>
      <c r="U145" s="1366"/>
      <c r="V145" s="1366"/>
      <c r="W145" s="1366"/>
      <c r="X145" s="1636"/>
      <c r="Y145" s="1366"/>
      <c r="Z145" s="1366"/>
      <c r="AA145" s="544"/>
      <c r="AB145" s="1366"/>
      <c r="AC145" s="1366"/>
      <c r="AD145" s="1366"/>
      <c r="AE145" s="1366"/>
      <c r="AF145" s="1366"/>
      <c r="AG145" s="1632"/>
      <c r="AH145" s="622"/>
      <c r="AI145" s="622"/>
      <c r="AJ145" s="622"/>
      <c r="AK145" s="622"/>
      <c r="AL145" s="1641">
        <v>11</v>
      </c>
    </row>
    <row s="1641" customFormat="1" customHeight="1" ht="11.549999999999999">
      <c r="A146" s="987"/>
      <c r="B146" s="987"/>
      <c r="C146" s="987"/>
      <c r="D146" s="987"/>
      <c r="E146" s="987"/>
      <c r="F146" s="1636"/>
      <c r="G146" s="1636"/>
      <c r="H146" s="351"/>
      <c r="N146" s="1641"/>
      <c r="O146" s="1366"/>
      <c r="Q146" s="1366"/>
      <c r="R146" s="1636"/>
      <c r="S146" s="1636"/>
      <c r="T146" s="1366"/>
      <c r="U146" s="1366"/>
      <c r="V146" s="1366"/>
      <c r="W146" s="1366"/>
      <c r="X146" s="1636"/>
      <c r="Y146" s="1366"/>
      <c r="Z146" s="1366"/>
      <c r="AA146" s="544"/>
      <c r="AB146" s="1366"/>
      <c r="AC146" s="1366"/>
      <c r="AD146" s="1366"/>
      <c r="AE146" s="1366"/>
      <c r="AF146" s="1366"/>
      <c r="AG146" s="1632"/>
      <c r="AH146" s="622"/>
      <c r="AI146" s="622"/>
      <c r="AJ146" s="622"/>
      <c r="AK146" s="622"/>
      <c r="AL146" s="1641">
        <v>11</v>
      </c>
    </row>
    <row s="1641" customFormat="1" customHeight="1" ht="11.549999999999999">
      <c r="A147" s="987"/>
      <c r="B147" s="987"/>
      <c r="C147" s="987"/>
      <c r="D147" s="987"/>
      <c r="E147" s="987"/>
      <c r="F147" s="1636"/>
      <c r="G147" s="1636"/>
      <c r="H147" s="351"/>
      <c r="N147" s="1641"/>
      <c r="O147" s="1366"/>
      <c r="Q147" s="1366"/>
      <c r="R147" s="1636"/>
      <c r="S147" s="1636"/>
      <c r="T147" s="1366"/>
      <c r="U147" s="1366"/>
      <c r="V147" s="1366"/>
      <c r="W147" s="1366"/>
      <c r="X147" s="1636"/>
      <c r="Y147" s="1366"/>
      <c r="Z147" s="1366"/>
      <c r="AA147" s="544"/>
      <c r="AB147" s="1366"/>
      <c r="AC147" s="1366"/>
      <c r="AD147" s="1366"/>
      <c r="AE147" s="1366"/>
      <c r="AF147" s="1366"/>
      <c r="AG147" s="1632"/>
      <c r="AH147" s="622"/>
      <c r="AI147" s="622"/>
      <c r="AJ147" s="622"/>
      <c r="AK147" s="622"/>
      <c r="AL147" s="1641">
        <v>11</v>
      </c>
    </row>
    <row s="1641" customFormat="1" customHeight="1" ht="11.549999999999999">
      <c r="A148" s="987"/>
      <c r="B148" s="987"/>
      <c r="C148" s="987"/>
      <c r="D148" s="987"/>
      <c r="E148" s="987"/>
      <c r="F148" s="1636"/>
      <c r="G148" s="1636"/>
      <c r="H148" s="351"/>
      <c r="N148" s="1641"/>
      <c r="O148" s="1366"/>
      <c r="Q148" s="1366"/>
      <c r="R148" s="1636"/>
      <c r="S148" s="1636"/>
      <c r="T148" s="1366"/>
      <c r="U148" s="1366"/>
      <c r="V148" s="1366"/>
      <c r="W148" s="1366"/>
      <c r="X148" s="1636"/>
      <c r="Y148" s="1366"/>
      <c r="Z148" s="1366"/>
      <c r="AA148" s="544"/>
      <c r="AB148" s="1366"/>
      <c r="AC148" s="1366"/>
      <c r="AD148" s="1366"/>
      <c r="AE148" s="1366"/>
      <c r="AF148" s="1366"/>
      <c r="AG148" s="1632"/>
      <c r="AH148" s="622"/>
      <c r="AI148" s="622"/>
      <c r="AJ148" s="622"/>
      <c r="AK148" s="622"/>
      <c r="AL148" s="1641">
        <v>11</v>
      </c>
    </row>
    <row s="1641" customFormat="1" customHeight="1" ht="11.549999999999999">
      <c r="A149" s="987"/>
      <c r="B149" s="987"/>
      <c r="C149" s="987"/>
      <c r="D149" s="987"/>
      <c r="E149" s="987"/>
      <c r="F149" s="1636"/>
      <c r="G149" s="1636"/>
      <c r="H149" s="351"/>
      <c r="N149" s="1641"/>
      <c r="O149" s="1366"/>
      <c r="Q149" s="1366"/>
      <c r="R149" s="1636"/>
      <c r="S149" s="1636"/>
      <c r="T149" s="1366"/>
      <c r="U149" s="1366"/>
      <c r="V149" s="1366"/>
      <c r="W149" s="1366"/>
      <c r="X149" s="1636"/>
      <c r="Y149" s="1366"/>
      <c r="Z149" s="1366"/>
      <c r="AA149" s="544"/>
      <c r="AB149" s="1366"/>
      <c r="AC149" s="1366"/>
      <c r="AD149" s="1366"/>
      <c r="AE149" s="1366"/>
      <c r="AF149" s="1366"/>
      <c r="AG149" s="1632"/>
      <c r="AH149" s="622"/>
      <c r="AI149" s="622"/>
      <c r="AJ149" s="622"/>
      <c r="AK149" s="622"/>
      <c r="AL149" s="1641">
        <v>11</v>
      </c>
    </row>
    <row s="1641" customFormat="1" customHeight="1" ht="11.549999999999999">
      <c r="A150" s="987"/>
      <c r="B150" s="987"/>
      <c r="C150" s="987"/>
      <c r="D150" s="987"/>
      <c r="E150" s="987"/>
      <c r="F150" s="1636"/>
      <c r="G150" s="1636"/>
      <c r="H150" s="351"/>
      <c r="N150" s="1641"/>
      <c r="O150" s="1366"/>
      <c r="Q150" s="1366"/>
      <c r="R150" s="1636"/>
      <c r="S150" s="1636"/>
      <c r="T150" s="1366"/>
      <c r="U150" s="1366"/>
      <c r="V150" s="1366"/>
      <c r="W150" s="1366"/>
      <c r="X150" s="1636"/>
      <c r="Y150" s="1366"/>
      <c r="Z150" s="1366"/>
      <c r="AA150" s="544"/>
      <c r="AB150" s="1366"/>
      <c r="AC150" s="1366"/>
      <c r="AD150" s="1366"/>
      <c r="AE150" s="1366"/>
      <c r="AF150" s="1366"/>
      <c r="AG150" s="1632"/>
      <c r="AH150" s="622"/>
      <c r="AI150" s="622"/>
      <c r="AJ150" s="622"/>
      <c r="AK150" s="622"/>
      <c r="AL150" s="1641">
        <v>11</v>
      </c>
    </row>
    <row s="1641" customFormat="1" customHeight="1" ht="11.549999999999999">
      <c r="A151" s="987"/>
      <c r="B151" s="987"/>
      <c r="C151" s="987"/>
      <c r="D151" s="987"/>
      <c r="E151" s="987"/>
      <c r="F151" s="1636"/>
      <c r="G151" s="1636"/>
      <c r="H151" s="351"/>
      <c r="N151" s="1641"/>
      <c r="O151" s="1366"/>
      <c r="Q151" s="1366"/>
      <c r="R151" s="1636"/>
      <c r="S151" s="1636"/>
      <c r="T151" s="1366"/>
      <c r="U151" s="1366"/>
      <c r="V151" s="1366"/>
      <c r="W151" s="1366"/>
      <c r="X151" s="1636"/>
      <c r="Y151" s="1366"/>
      <c r="Z151" s="1366"/>
      <c r="AA151" s="544"/>
      <c r="AB151" s="1366"/>
      <c r="AC151" s="1366"/>
      <c r="AD151" s="1366"/>
      <c r="AE151" s="1366"/>
      <c r="AF151" s="1366"/>
      <c r="AG151" s="1632"/>
      <c r="AH151" s="622"/>
      <c r="AI151" s="622"/>
      <c r="AJ151" s="622"/>
      <c r="AK151" s="622"/>
      <c r="AL151" s="1641">
        <v>11</v>
      </c>
    </row>
    <row s="1641" customFormat="1" customHeight="1" ht="11.549999999999999">
      <c r="A152" s="987"/>
      <c r="B152" s="987"/>
      <c r="C152" s="987"/>
      <c r="D152" s="987"/>
      <c r="E152" s="987"/>
      <c r="F152" s="1636"/>
      <c r="G152" s="1636"/>
      <c r="H152" s="351"/>
      <c r="N152" s="1641"/>
      <c r="O152" s="1366"/>
      <c r="Q152" s="1366"/>
      <c r="R152" s="1636"/>
      <c r="S152" s="1636"/>
      <c r="T152" s="1366"/>
      <c r="U152" s="1366"/>
      <c r="V152" s="1366"/>
      <c r="W152" s="1366"/>
      <c r="X152" s="1636"/>
      <c r="Y152" s="1366"/>
      <c r="Z152" s="1366"/>
      <c r="AA152" s="544"/>
      <c r="AB152" s="1366"/>
      <c r="AC152" s="1366"/>
      <c r="AD152" s="1366"/>
      <c r="AE152" s="1366"/>
      <c r="AF152" s="1366"/>
      <c r="AG152" s="1632"/>
      <c r="AH152" s="622"/>
      <c r="AI152" s="622"/>
      <c r="AJ152" s="622"/>
      <c r="AK152" s="622"/>
      <c r="AL152" s="1641">
        <v>11</v>
      </c>
    </row>
    <row s="1641" customFormat="1" customHeight="1" ht="11.549999999999999">
      <c r="A153" s="987"/>
      <c r="B153" s="987"/>
      <c r="C153" s="987"/>
      <c r="D153" s="987"/>
      <c r="E153" s="987"/>
      <c r="F153" s="1636"/>
      <c r="G153" s="1636"/>
      <c r="H153" s="351"/>
      <c r="N153" s="1641"/>
      <c r="O153" s="1366"/>
      <c r="Q153" s="1366"/>
      <c r="R153" s="1636"/>
      <c r="S153" s="1636"/>
      <c r="T153" s="1366"/>
      <c r="U153" s="1366"/>
      <c r="V153" s="1366"/>
      <c r="W153" s="1366"/>
      <c r="X153" s="1636"/>
      <c r="Y153" s="1366"/>
      <c r="Z153" s="1366"/>
      <c r="AA153" s="544"/>
      <c r="AB153" s="1366"/>
      <c r="AC153" s="1366"/>
      <c r="AD153" s="1366"/>
      <c r="AE153" s="1366"/>
      <c r="AF153" s="1366"/>
      <c r="AG153" s="1632"/>
      <c r="AH153" s="622"/>
      <c r="AI153" s="622"/>
      <c r="AJ153" s="622"/>
      <c r="AK153" s="622"/>
      <c r="AL153" s="1641">
        <v>11</v>
      </c>
    </row>
    <row s="1641" customFormat="1" customHeight="1" ht="11.549999999999999">
      <c r="A154" s="987"/>
      <c r="B154" s="987"/>
      <c r="C154" s="987"/>
      <c r="D154" s="987"/>
      <c r="E154" s="987"/>
      <c r="F154" s="1636"/>
      <c r="G154" s="1636"/>
      <c r="H154" s="351"/>
      <c r="N154" s="1641"/>
      <c r="O154" s="1366"/>
      <c r="Q154" s="1366"/>
      <c r="R154" s="1636"/>
      <c r="S154" s="1636"/>
      <c r="T154" s="1366"/>
      <c r="U154" s="1366"/>
      <c r="V154" s="1366"/>
      <c r="W154" s="1366"/>
      <c r="X154" s="1636"/>
      <c r="Y154" s="1366"/>
      <c r="Z154" s="1366"/>
      <c r="AA154" s="544"/>
      <c r="AB154" s="1366"/>
      <c r="AC154" s="1366"/>
      <c r="AD154" s="1366"/>
      <c r="AE154" s="1366"/>
      <c r="AF154" s="1366"/>
      <c r="AG154" s="1632"/>
      <c r="AH154" s="622"/>
      <c r="AI154" s="622"/>
      <c r="AJ154" s="622"/>
      <c r="AK154" s="622"/>
      <c r="AL154" s="1641">
        <v>11</v>
      </c>
    </row>
    <row s="1641" customFormat="1" customHeight="1" ht="11.549999999999999">
      <c r="A155" s="987"/>
      <c r="B155" s="987"/>
      <c r="C155" s="987"/>
      <c r="D155" s="987"/>
      <c r="E155" s="987"/>
      <c r="F155" s="1636"/>
      <c r="G155" s="1636"/>
      <c r="H155" s="351"/>
      <c r="N155" s="1641"/>
      <c r="O155" s="1366"/>
      <c r="Q155" s="1366"/>
      <c r="R155" s="1636"/>
      <c r="S155" s="1636"/>
      <c r="T155" s="1366"/>
      <c r="U155" s="1366"/>
      <c r="V155" s="1366"/>
      <c r="W155" s="1366"/>
      <c r="X155" s="1636"/>
      <c r="Y155" s="1366"/>
      <c r="Z155" s="1366"/>
      <c r="AA155" s="544"/>
      <c r="AB155" s="1366"/>
      <c r="AC155" s="1366"/>
      <c r="AD155" s="1366"/>
      <c r="AE155" s="1366"/>
      <c r="AF155" s="1366"/>
      <c r="AG155" s="1632"/>
      <c r="AH155" s="622"/>
      <c r="AI155" s="622"/>
      <c r="AJ155" s="622"/>
      <c r="AK155" s="622"/>
      <c r="AL155" s="1641">
        <v>11</v>
      </c>
    </row>
    <row s="1641" customFormat="1" customHeight="1" ht="11.549999999999999">
      <c r="A156" s="987"/>
      <c r="B156" s="987"/>
      <c r="C156" s="987"/>
      <c r="D156" s="987"/>
      <c r="E156" s="987"/>
      <c r="F156" s="1636"/>
      <c r="G156" s="1636"/>
      <c r="H156" s="351"/>
      <c r="N156" s="1641"/>
      <c r="O156" s="1366"/>
      <c r="Q156" s="1366"/>
      <c r="R156" s="1636"/>
      <c r="S156" s="1636"/>
      <c r="T156" s="1366"/>
      <c r="U156" s="1366"/>
      <c r="V156" s="1366"/>
      <c r="W156" s="1366"/>
      <c r="X156" s="1636"/>
      <c r="Y156" s="1366"/>
      <c r="Z156" s="1366"/>
      <c r="AA156" s="544"/>
      <c r="AB156" s="1366"/>
      <c r="AC156" s="1366"/>
      <c r="AD156" s="1366"/>
      <c r="AE156" s="1366"/>
      <c r="AF156" s="1366"/>
      <c r="AG156" s="1632"/>
      <c r="AH156" s="622"/>
      <c r="AI156" s="622"/>
      <c r="AJ156" s="622"/>
      <c r="AK156" s="622"/>
      <c r="AL156" s="1641">
        <v>11</v>
      </c>
    </row>
    <row s="1641" customFormat="1" customHeight="1" ht="11.549999999999999">
      <c r="A157" s="987"/>
      <c r="B157" s="987"/>
      <c r="C157" s="987"/>
      <c r="D157" s="987"/>
      <c r="E157" s="987"/>
      <c r="F157" s="1636"/>
      <c r="G157" s="1636"/>
      <c r="H157" s="351"/>
      <c r="N157" s="1641"/>
      <c r="O157" s="1366"/>
      <c r="Q157" s="1366"/>
      <c r="R157" s="1636"/>
      <c r="S157" s="1636"/>
      <c r="T157" s="1366"/>
      <c r="U157" s="1366"/>
      <c r="V157" s="1366"/>
      <c r="W157" s="1366"/>
      <c r="X157" s="1636"/>
      <c r="Y157" s="1366"/>
      <c r="Z157" s="1366"/>
      <c r="AA157" s="544"/>
      <c r="AB157" s="1366"/>
      <c r="AC157" s="1366"/>
      <c r="AD157" s="1366"/>
      <c r="AE157" s="1366"/>
      <c r="AF157" s="1366"/>
      <c r="AG157" s="1632"/>
      <c r="AH157" s="622"/>
      <c r="AI157" s="622"/>
      <c r="AJ157" s="622"/>
      <c r="AK157" s="622"/>
      <c r="AL157" s="1641">
        <v>11</v>
      </c>
    </row>
    <row s="1641" customFormat="1" customHeight="1" ht="11.549999999999999">
      <c r="A158" s="987"/>
      <c r="B158" s="987"/>
      <c r="C158" s="987"/>
      <c r="D158" s="987"/>
      <c r="E158" s="987"/>
      <c r="F158" s="1636"/>
      <c r="G158" s="1636"/>
      <c r="H158" s="351"/>
      <c r="N158" s="1641"/>
      <c r="O158" s="1366"/>
      <c r="Q158" s="1366"/>
      <c r="R158" s="1636"/>
      <c r="S158" s="1636"/>
      <c r="T158" s="1366"/>
      <c r="U158" s="1366"/>
      <c r="V158" s="1366"/>
      <c r="W158" s="1366"/>
      <c r="X158" s="1636"/>
      <c r="Y158" s="1366"/>
      <c r="Z158" s="1366"/>
      <c r="AA158" s="544"/>
      <c r="AB158" s="1366"/>
      <c r="AC158" s="1366"/>
      <c r="AD158" s="1366"/>
      <c r="AE158" s="1366"/>
      <c r="AF158" s="1366"/>
      <c r="AG158" s="1632"/>
      <c r="AH158" s="622"/>
      <c r="AI158" s="622"/>
      <c r="AJ158" s="622"/>
      <c r="AK158" s="622"/>
      <c r="AL158" s="1641">
        <v>11</v>
      </c>
    </row>
    <row s="1641" customFormat="1" customHeight="1" ht="11.549999999999999">
      <c r="A159" s="987"/>
      <c r="B159" s="987"/>
      <c r="C159" s="987"/>
      <c r="D159" s="987"/>
      <c r="E159" s="987"/>
      <c r="F159" s="1636"/>
      <c r="G159" s="1636"/>
      <c r="H159" s="351"/>
      <c r="N159" s="1641"/>
      <c r="O159" s="1366"/>
      <c r="Q159" s="1366"/>
      <c r="R159" s="1636"/>
      <c r="S159" s="1636"/>
      <c r="T159" s="1366"/>
      <c r="U159" s="1366"/>
      <c r="V159" s="1366"/>
      <c r="W159" s="1366"/>
      <c r="X159" s="1636"/>
      <c r="Y159" s="1366"/>
      <c r="Z159" s="1366"/>
      <c r="AA159" s="544"/>
      <c r="AB159" s="1366"/>
      <c r="AC159" s="1366"/>
      <c r="AD159" s="1366"/>
      <c r="AE159" s="1366"/>
      <c r="AF159" s="1366"/>
      <c r="AG159" s="1632"/>
      <c r="AH159" s="622"/>
      <c r="AI159" s="622"/>
      <c r="AJ159" s="622"/>
      <c r="AK159" s="622"/>
      <c r="AL159" s="1641">
        <v>11</v>
      </c>
    </row>
    <row s="1641" customFormat="1" customHeight="1" ht="11.549999999999999">
      <c r="A160" s="987"/>
      <c r="B160" s="987"/>
      <c r="C160" s="987"/>
      <c r="D160" s="987"/>
      <c r="E160" s="987"/>
      <c r="F160" s="1636"/>
      <c r="G160" s="1636"/>
      <c r="H160" s="351"/>
      <c r="N160" s="1641"/>
      <c r="O160" s="1366"/>
      <c r="Q160" s="1366"/>
      <c r="R160" s="1636"/>
      <c r="S160" s="1636"/>
      <c r="T160" s="1366"/>
      <c r="U160" s="1366"/>
      <c r="V160" s="1366"/>
      <c r="W160" s="1366"/>
      <c r="X160" s="1636"/>
      <c r="Y160" s="1366"/>
      <c r="Z160" s="1366"/>
      <c r="AA160" s="544"/>
      <c r="AB160" s="1366"/>
      <c r="AC160" s="1366"/>
      <c r="AD160" s="1366"/>
      <c r="AE160" s="1366"/>
      <c r="AF160" s="1366"/>
      <c r="AG160" s="1632"/>
      <c r="AH160" s="622"/>
      <c r="AI160" s="622"/>
      <c r="AJ160" s="622"/>
      <c r="AK160" s="622"/>
      <c r="AL160" s="1641">
        <v>11</v>
      </c>
    </row>
    <row s="1641" customFormat="1" customHeight="1" ht="11.549999999999999">
      <c r="A161" s="987"/>
      <c r="B161" s="987"/>
      <c r="C161" s="987"/>
      <c r="D161" s="987"/>
      <c r="E161" s="987"/>
      <c r="F161" s="1636"/>
      <c r="G161" s="1636"/>
      <c r="H161" s="351"/>
      <c r="N161" s="1641"/>
      <c r="O161" s="1366"/>
      <c r="Q161" s="1366"/>
      <c r="R161" s="1636"/>
      <c r="S161" s="1636"/>
      <c r="T161" s="1366"/>
      <c r="U161" s="1366"/>
      <c r="V161" s="1366"/>
      <c r="W161" s="1366"/>
      <c r="X161" s="1636"/>
      <c r="Y161" s="1366"/>
      <c r="Z161" s="1366"/>
      <c r="AA161" s="544"/>
      <c r="AB161" s="1366"/>
      <c r="AC161" s="1366"/>
      <c r="AD161" s="1366"/>
      <c r="AE161" s="1366"/>
      <c r="AF161" s="1366"/>
      <c r="AG161" s="1632"/>
      <c r="AH161" s="622"/>
      <c r="AI161" s="622"/>
      <c r="AJ161" s="622"/>
      <c r="AK161" s="622"/>
      <c r="AL161" s="1641">
        <v>11</v>
      </c>
    </row>
    <row s="1641" customFormat="1" customHeight="1" ht="11.549999999999999">
      <c r="A162" s="987"/>
      <c r="B162" s="987"/>
      <c r="C162" s="987"/>
      <c r="D162" s="987"/>
      <c r="E162" s="987"/>
      <c r="F162" s="1636"/>
      <c r="G162" s="1636"/>
      <c r="H162" s="351"/>
      <c r="N162" s="1641"/>
      <c r="O162" s="1366"/>
      <c r="Q162" s="1366"/>
      <c r="R162" s="1636"/>
      <c r="S162" s="1636"/>
      <c r="T162" s="1366"/>
      <c r="U162" s="1366"/>
      <c r="V162" s="1366"/>
      <c r="W162" s="1366"/>
      <c r="X162" s="1636"/>
      <c r="Y162" s="1366"/>
      <c r="Z162" s="1366"/>
      <c r="AA162" s="544"/>
      <c r="AB162" s="1366"/>
      <c r="AC162" s="1366"/>
      <c r="AD162" s="1366"/>
      <c r="AE162" s="1366"/>
      <c r="AF162" s="1366"/>
      <c r="AG162" s="1632"/>
      <c r="AH162" s="622"/>
      <c r="AI162" s="622"/>
      <c r="AJ162" s="622"/>
      <c r="AK162" s="622"/>
      <c r="AL162" s="1641">
        <v>11</v>
      </c>
    </row>
    <row s="1641" customFormat="1" customHeight="1" ht="11.549999999999999">
      <c r="A163" s="987"/>
      <c r="B163" s="987"/>
      <c r="C163" s="987"/>
      <c r="D163" s="987"/>
      <c r="E163" s="987"/>
      <c r="F163" s="1636"/>
      <c r="G163" s="1636"/>
      <c r="H163" s="351"/>
      <c r="N163" s="1641"/>
      <c r="O163" s="1366"/>
      <c r="Q163" s="1366"/>
      <c r="R163" s="1636"/>
      <c r="S163" s="1636"/>
      <c r="T163" s="1366"/>
      <c r="U163" s="1366"/>
      <c r="V163" s="1366"/>
      <c r="W163" s="1366"/>
      <c r="X163" s="1636"/>
      <c r="Y163" s="1366"/>
      <c r="Z163" s="1366"/>
      <c r="AA163" s="544"/>
      <c r="AB163" s="1366"/>
      <c r="AC163" s="1366"/>
      <c r="AD163" s="1366"/>
      <c r="AE163" s="1366"/>
      <c r="AF163" s="1366"/>
      <c r="AG163" s="1632"/>
      <c r="AH163" s="622"/>
      <c r="AI163" s="622"/>
      <c r="AJ163" s="622"/>
      <c r="AK163" s="622"/>
      <c r="AL163" s="1641">
        <v>11</v>
      </c>
    </row>
    <row s="1641" customFormat="1" customHeight="1" ht="11.549999999999999">
      <c r="A164" s="987"/>
      <c r="B164" s="987"/>
      <c r="C164" s="987"/>
      <c r="D164" s="987"/>
      <c r="E164" s="987"/>
      <c r="F164" s="1636"/>
      <c r="G164" s="1636"/>
      <c r="H164" s="351"/>
      <c r="N164" s="1641"/>
      <c r="O164" s="1366"/>
      <c r="Q164" s="1366"/>
      <c r="R164" s="1636"/>
      <c r="S164" s="1636"/>
      <c r="T164" s="1366"/>
      <c r="U164" s="1366"/>
      <c r="V164" s="1366"/>
      <c r="W164" s="1366"/>
      <c r="X164" s="1636"/>
      <c r="Y164" s="1366"/>
      <c r="Z164" s="1366"/>
      <c r="AA164" s="544"/>
      <c r="AB164" s="1366"/>
      <c r="AC164" s="1366"/>
      <c r="AD164" s="1366"/>
      <c r="AE164" s="1366"/>
      <c r="AF164" s="1366"/>
      <c r="AG164" s="1632"/>
      <c r="AH164" s="622"/>
      <c r="AI164" s="622"/>
      <c r="AJ164" s="622"/>
      <c r="AK164" s="622"/>
      <c r="AL164" s="1641">
        <v>11</v>
      </c>
    </row>
    <row s="1641" customFormat="1" customHeight="1" ht="11.549999999999999">
      <c r="A165" s="987"/>
      <c r="B165" s="987"/>
      <c r="C165" s="987"/>
      <c r="D165" s="987"/>
      <c r="E165" s="987"/>
      <c r="F165" s="1636"/>
      <c r="G165" s="1636"/>
      <c r="H165" s="351"/>
      <c r="N165" s="1641"/>
      <c r="O165" s="1366"/>
      <c r="Q165" s="1366"/>
      <c r="R165" s="1636"/>
      <c r="S165" s="1636"/>
      <c r="T165" s="1366"/>
      <c r="U165" s="1366"/>
      <c r="V165" s="1366"/>
      <c r="W165" s="1366"/>
      <c r="X165" s="1636"/>
      <c r="Y165" s="1366"/>
      <c r="Z165" s="1366"/>
      <c r="AA165" s="544"/>
      <c r="AB165" s="1366"/>
      <c r="AC165" s="1366"/>
      <c r="AD165" s="1366"/>
      <c r="AE165" s="1366"/>
      <c r="AF165" s="1366"/>
      <c r="AG165" s="1632"/>
      <c r="AH165" s="622"/>
      <c r="AI165" s="622"/>
      <c r="AJ165" s="622"/>
      <c r="AK165" s="622"/>
      <c r="AL165" s="1641">
        <v>11</v>
      </c>
    </row>
    <row s="1641" customFormat="1" customHeight="1" ht="11.549999999999999">
      <c r="A166" s="987"/>
      <c r="B166" s="987"/>
      <c r="C166" s="987"/>
      <c r="D166" s="987"/>
      <c r="E166" s="987"/>
      <c r="F166" s="1636"/>
      <c r="G166" s="1636"/>
      <c r="H166" s="351"/>
      <c r="N166" s="1641"/>
      <c r="O166" s="1366"/>
      <c r="Q166" s="1366"/>
      <c r="R166" s="1636"/>
      <c r="S166" s="1636"/>
      <c r="T166" s="1366"/>
      <c r="U166" s="1366"/>
      <c r="V166" s="1366"/>
      <c r="W166" s="1366"/>
      <c r="X166" s="1636"/>
      <c r="Y166" s="1366"/>
      <c r="Z166" s="1366"/>
      <c r="AA166" s="544"/>
      <c r="AB166" s="1366"/>
      <c r="AC166" s="1366"/>
      <c r="AD166" s="1366"/>
      <c r="AE166" s="1366"/>
      <c r="AF166" s="1366"/>
      <c r="AG166" s="1632"/>
      <c r="AH166" s="622"/>
      <c r="AI166" s="622"/>
      <c r="AJ166" s="622"/>
      <c r="AK166" s="622"/>
      <c r="AL166" s="1641">
        <v>11</v>
      </c>
    </row>
    <row s="1641" customFormat="1" customHeight="1" ht="11.549999999999999">
      <c r="A167" s="987"/>
      <c r="B167" s="987"/>
      <c r="C167" s="987"/>
      <c r="D167" s="987"/>
      <c r="E167" s="987"/>
      <c r="F167" s="1636"/>
      <c r="G167" s="1636"/>
      <c r="H167" s="351"/>
      <c r="N167" s="1641"/>
      <c r="O167" s="1366"/>
      <c r="Q167" s="1366"/>
      <c r="R167" s="1636"/>
      <c r="S167" s="1636"/>
      <c r="T167" s="1366"/>
      <c r="U167" s="1366"/>
      <c r="V167" s="1366"/>
      <c r="W167" s="1366"/>
      <c r="X167" s="1636"/>
      <c r="Y167" s="1366"/>
      <c r="Z167" s="1366"/>
      <c r="AA167" s="544"/>
      <c r="AB167" s="1366"/>
      <c r="AC167" s="1366"/>
      <c r="AD167" s="1366"/>
      <c r="AE167" s="1366"/>
      <c r="AF167" s="1366"/>
      <c r="AG167" s="1632"/>
      <c r="AH167" s="622"/>
      <c r="AI167" s="622"/>
      <c r="AJ167" s="622"/>
      <c r="AK167" s="622"/>
      <c r="AL167" s="1641">
        <v>11</v>
      </c>
    </row>
    <row s="1641" customFormat="1" customHeight="1" ht="11.549999999999999">
      <c r="A168" s="987"/>
      <c r="B168" s="987"/>
      <c r="C168" s="987"/>
      <c r="D168" s="987"/>
      <c r="E168" s="987"/>
      <c r="F168" s="1636"/>
      <c r="G168" s="1636"/>
      <c r="H168" s="351"/>
      <c r="N168" s="1641"/>
      <c r="O168" s="1366"/>
      <c r="Q168" s="1366"/>
      <c r="R168" s="1636"/>
      <c r="S168" s="1636"/>
      <c r="T168" s="1366"/>
      <c r="U168" s="1366"/>
      <c r="V168" s="1366"/>
      <c r="W168" s="1366"/>
      <c r="X168" s="1636"/>
      <c r="Y168" s="1366"/>
      <c r="Z168" s="1366"/>
      <c r="AA168" s="544"/>
      <c r="AB168" s="1366"/>
      <c r="AC168" s="1366"/>
      <c r="AD168" s="1366"/>
      <c r="AE168" s="1366"/>
      <c r="AF168" s="1366"/>
      <c r="AG168" s="1632"/>
      <c r="AH168" s="622"/>
      <c r="AI168" s="622"/>
      <c r="AJ168" s="622"/>
      <c r="AK168" s="622"/>
      <c r="AL168" s="1641">
        <v>11</v>
      </c>
    </row>
    <row s="1641" customFormat="1" customHeight="1" ht="11.549999999999999">
      <c r="A169" s="987"/>
      <c r="B169" s="987"/>
      <c r="C169" s="987"/>
      <c r="D169" s="987"/>
      <c r="E169" s="987"/>
      <c r="F169" s="1636"/>
      <c r="G169" s="1636"/>
      <c r="H169" s="351"/>
      <c r="N169" s="1641"/>
      <c r="O169" s="1366"/>
      <c r="Q169" s="1366"/>
      <c r="R169" s="1636"/>
      <c r="S169" s="1636"/>
      <c r="T169" s="1366"/>
      <c r="U169" s="1366"/>
      <c r="V169" s="1366"/>
      <c r="W169" s="1366"/>
      <c r="X169" s="1636"/>
      <c r="Y169" s="1366"/>
      <c r="Z169" s="1366"/>
      <c r="AA169" s="544"/>
      <c r="AB169" s="1366"/>
      <c r="AC169" s="1366"/>
      <c r="AD169" s="1366"/>
      <c r="AE169" s="1366"/>
      <c r="AF169" s="1366"/>
      <c r="AG169" s="1632"/>
      <c r="AH169" s="622"/>
      <c r="AI169" s="622"/>
      <c r="AJ169" s="622"/>
      <c r="AK169" s="622"/>
      <c r="AL169" s="1641">
        <v>11</v>
      </c>
    </row>
    <row s="1641" customFormat="1" customHeight="1" ht="11.549999999999999">
      <c r="A170" s="987"/>
      <c r="B170" s="987"/>
      <c r="C170" s="987"/>
      <c r="D170" s="987"/>
      <c r="E170" s="987"/>
      <c r="F170" s="1636"/>
      <c r="G170" s="1636"/>
      <c r="H170" s="351"/>
      <c r="N170" s="1641"/>
      <c r="O170" s="1366"/>
      <c r="Q170" s="1366"/>
      <c r="R170" s="1636"/>
      <c r="S170" s="1636"/>
      <c r="T170" s="1366"/>
      <c r="U170" s="1366"/>
      <c r="V170" s="1366"/>
      <c r="W170" s="1366"/>
      <c r="X170" s="1636"/>
      <c r="Y170" s="1366"/>
      <c r="Z170" s="1366"/>
      <c r="AA170" s="544"/>
      <c r="AB170" s="1366"/>
      <c r="AC170" s="1366"/>
      <c r="AD170" s="1366"/>
      <c r="AE170" s="1366"/>
      <c r="AF170" s="1366"/>
      <c r="AG170" s="1632"/>
      <c r="AH170" s="622"/>
      <c r="AI170" s="622"/>
      <c r="AJ170" s="622"/>
      <c r="AK170" s="622"/>
      <c r="AL170" s="1641">
        <v>11</v>
      </c>
    </row>
    <row s="1641" customFormat="1" customHeight="1" ht="11.549999999999999">
      <c r="A171" s="987"/>
      <c r="B171" s="987"/>
      <c r="C171" s="987"/>
      <c r="D171" s="987"/>
      <c r="E171" s="987"/>
      <c r="F171" s="1636"/>
      <c r="G171" s="1636"/>
      <c r="H171" s="351"/>
      <c r="N171" s="1641"/>
      <c r="O171" s="1366"/>
      <c r="Q171" s="1366"/>
      <c r="R171" s="1636"/>
      <c r="S171" s="1636"/>
      <c r="T171" s="1366"/>
      <c r="U171" s="1366"/>
      <c r="V171" s="1366"/>
      <c r="W171" s="1366"/>
      <c r="X171" s="1636"/>
      <c r="Y171" s="1366"/>
      <c r="Z171" s="1366"/>
      <c r="AA171" s="544"/>
      <c r="AB171" s="1366"/>
      <c r="AC171" s="1366"/>
      <c r="AD171" s="1366"/>
      <c r="AE171" s="1366"/>
      <c r="AF171" s="1366"/>
      <c r="AG171" s="1632"/>
      <c r="AH171" s="622"/>
      <c r="AI171" s="622"/>
      <c r="AJ171" s="622"/>
      <c r="AK171" s="622"/>
      <c r="AL171" s="1641">
        <v>11</v>
      </c>
    </row>
    <row s="1641" customFormat="1" customHeight="1" ht="11.549999999999999">
      <c r="A172" s="987"/>
      <c r="B172" s="987"/>
      <c r="C172" s="987"/>
      <c r="D172" s="987"/>
      <c r="E172" s="987"/>
      <c r="F172" s="1636"/>
      <c r="G172" s="1636"/>
      <c r="H172" s="351"/>
      <c r="N172" s="1641"/>
      <c r="O172" s="1366"/>
      <c r="Q172" s="1366"/>
      <c r="R172" s="1636"/>
      <c r="S172" s="1636"/>
      <c r="T172" s="1366"/>
      <c r="U172" s="1366"/>
      <c r="V172" s="1366"/>
      <c r="W172" s="1366"/>
      <c r="X172" s="1636"/>
      <c r="Y172" s="1366"/>
      <c r="Z172" s="1366"/>
      <c r="AA172" s="544"/>
      <c r="AB172" s="1366"/>
      <c r="AC172" s="1366"/>
      <c r="AD172" s="1366"/>
      <c r="AE172" s="1366"/>
      <c r="AF172" s="1366"/>
      <c r="AG172" s="1632"/>
      <c r="AH172" s="622"/>
      <c r="AI172" s="622"/>
      <c r="AJ172" s="622"/>
      <c r="AK172" s="622"/>
      <c r="AL172" s="1641">
        <v>11</v>
      </c>
    </row>
    <row s="1641" customFormat="1" customHeight="1" ht="11.549999999999999">
      <c r="A173" s="987"/>
      <c r="B173" s="987"/>
      <c r="C173" s="987"/>
      <c r="D173" s="987"/>
      <c r="E173" s="987"/>
      <c r="F173" s="1636"/>
      <c r="G173" s="1636"/>
      <c r="H173" s="351"/>
      <c r="N173" s="1641"/>
      <c r="O173" s="1366"/>
      <c r="Q173" s="1366"/>
      <c r="R173" s="1636"/>
      <c r="S173" s="1636"/>
      <c r="T173" s="1366"/>
      <c r="U173" s="1366"/>
      <c r="V173" s="1366"/>
      <c r="W173" s="1366"/>
      <c r="X173" s="1636"/>
      <c r="Y173" s="1366"/>
      <c r="Z173" s="1366"/>
      <c r="AA173" s="544"/>
      <c r="AB173" s="1366"/>
      <c r="AC173" s="1366"/>
      <c r="AD173" s="1366"/>
      <c r="AE173" s="1366"/>
      <c r="AF173" s="1366"/>
      <c r="AG173" s="1632"/>
      <c r="AH173" s="622"/>
      <c r="AI173" s="622"/>
      <c r="AJ173" s="622"/>
      <c r="AK173" s="622"/>
      <c r="AL173" s="1641">
        <v>11</v>
      </c>
    </row>
    <row s="1641" customFormat="1" customHeight="1" ht="11.549999999999999">
      <c r="A174" s="987"/>
      <c r="B174" s="987"/>
      <c r="C174" s="987"/>
      <c r="D174" s="987"/>
      <c r="E174" s="987"/>
      <c r="F174" s="1636"/>
      <c r="G174" s="1636"/>
      <c r="H174" s="351"/>
      <c r="N174" s="1641"/>
      <c r="O174" s="1366"/>
      <c r="Q174" s="1366"/>
      <c r="R174" s="1636"/>
      <c r="S174" s="1636"/>
      <c r="T174" s="1366"/>
      <c r="U174" s="1366"/>
      <c r="V174" s="1366"/>
      <c r="W174" s="1366"/>
      <c r="X174" s="1636"/>
      <c r="Y174" s="1366"/>
      <c r="Z174" s="1366"/>
      <c r="AA174" s="544"/>
      <c r="AB174" s="1366"/>
      <c r="AC174" s="1366"/>
      <c r="AD174" s="1366"/>
      <c r="AE174" s="1366"/>
      <c r="AF174" s="1366"/>
      <c r="AG174" s="1632"/>
      <c r="AH174" s="622"/>
      <c r="AI174" s="622"/>
      <c r="AJ174" s="622"/>
      <c r="AK174" s="622"/>
      <c r="AL174" s="1641">
        <v>11</v>
      </c>
    </row>
    <row s="1641" customFormat="1" customHeight="1" ht="11.549999999999999">
      <c r="A175" s="987"/>
      <c r="B175" s="987"/>
      <c r="C175" s="987"/>
      <c r="D175" s="987"/>
      <c r="E175" s="987"/>
      <c r="F175" s="1636"/>
      <c r="G175" s="1636"/>
      <c r="H175" s="351"/>
      <c r="N175" s="1641"/>
      <c r="O175" s="1366"/>
      <c r="Q175" s="1366"/>
      <c r="R175" s="1636"/>
      <c r="S175" s="1636"/>
      <c r="T175" s="1366"/>
      <c r="U175" s="1366"/>
      <c r="V175" s="1366"/>
      <c r="W175" s="1366"/>
      <c r="X175" s="1636"/>
      <c r="Y175" s="1366"/>
      <c r="Z175" s="1366"/>
      <c r="AA175" s="544"/>
      <c r="AB175" s="1366"/>
      <c r="AC175" s="1366"/>
      <c r="AD175" s="1366"/>
      <c r="AE175" s="1366"/>
      <c r="AF175" s="1366"/>
      <c r="AG175" s="1632"/>
      <c r="AH175" s="622"/>
      <c r="AI175" s="622"/>
      <c r="AJ175" s="622"/>
      <c r="AK175" s="622"/>
      <c r="AL175" s="1641">
        <v>11</v>
      </c>
    </row>
    <row s="1641" customFormat="1" customHeight="1" ht="11.549999999999999">
      <c r="A176" s="987"/>
      <c r="B176" s="987"/>
      <c r="C176" s="987"/>
      <c r="D176" s="987"/>
      <c r="E176" s="987"/>
      <c r="F176" s="1636"/>
      <c r="G176" s="1636"/>
      <c r="H176" s="351"/>
      <c r="N176" s="1641"/>
      <c r="O176" s="1366"/>
      <c r="Q176" s="1366"/>
      <c r="R176" s="1636"/>
      <c r="S176" s="1636"/>
      <c r="T176" s="1366"/>
      <c r="U176" s="1366"/>
      <c r="V176" s="1366"/>
      <c r="W176" s="1366"/>
      <c r="X176" s="1636"/>
      <c r="Y176" s="1366"/>
      <c r="Z176" s="1366"/>
      <c r="AA176" s="544"/>
      <c r="AB176" s="1366"/>
      <c r="AC176" s="1366"/>
      <c r="AD176" s="1366"/>
      <c r="AE176" s="1366"/>
      <c r="AF176" s="1366"/>
      <c r="AG176" s="1632"/>
      <c r="AH176" s="622"/>
      <c r="AI176" s="622"/>
      <c r="AJ176" s="622"/>
      <c r="AK176" s="622"/>
      <c r="AL176" s="1641">
        <v>11</v>
      </c>
    </row>
    <row s="1641" customFormat="1" customHeight="1" ht="11.549999999999999">
      <c r="A177" s="987"/>
      <c r="B177" s="987"/>
      <c r="C177" s="987"/>
      <c r="D177" s="987"/>
      <c r="E177" s="987"/>
      <c r="F177" s="1636"/>
      <c r="G177" s="1636"/>
      <c r="H177" s="351"/>
      <c r="N177" s="1641"/>
      <c r="O177" s="1366"/>
      <c r="Q177" s="1366"/>
      <c r="R177" s="1636"/>
      <c r="S177" s="1636"/>
      <c r="T177" s="1366"/>
      <c r="U177" s="1366"/>
      <c r="V177" s="1366"/>
      <c r="W177" s="1366"/>
      <c r="X177" s="1636"/>
      <c r="Y177" s="1366"/>
      <c r="Z177" s="1366"/>
      <c r="AA177" s="544"/>
      <c r="AB177" s="1366"/>
      <c r="AC177" s="1366"/>
      <c r="AD177" s="1366"/>
      <c r="AE177" s="1366"/>
      <c r="AF177" s="1366"/>
      <c r="AG177" s="1632"/>
      <c r="AH177" s="622"/>
      <c r="AI177" s="622"/>
      <c r="AJ177" s="622"/>
      <c r="AK177" s="622"/>
      <c r="AL177" s="1641">
        <v>11</v>
      </c>
    </row>
    <row s="1641" customFormat="1" customHeight="1" ht="11.549999999999999">
      <c r="A178" s="987"/>
      <c r="B178" s="987"/>
      <c r="C178" s="987"/>
      <c r="D178" s="987"/>
      <c r="E178" s="987"/>
      <c r="F178" s="1636"/>
      <c r="G178" s="1636"/>
      <c r="H178" s="351"/>
      <c r="N178" s="1641"/>
      <c r="O178" s="1366"/>
      <c r="Q178" s="1366"/>
      <c r="R178" s="1636"/>
      <c r="S178" s="1636"/>
      <c r="T178" s="1366"/>
      <c r="U178" s="1366"/>
      <c r="V178" s="1366"/>
      <c r="W178" s="1366"/>
      <c r="X178" s="1636"/>
      <c r="Y178" s="1366"/>
      <c r="Z178" s="1366"/>
      <c r="AA178" s="544"/>
      <c r="AB178" s="1366"/>
      <c r="AC178" s="1366"/>
      <c r="AD178" s="1366"/>
      <c r="AE178" s="1366"/>
      <c r="AF178" s="1366"/>
      <c r="AG178" s="1632"/>
      <c r="AH178" s="622"/>
      <c r="AI178" s="622"/>
      <c r="AJ178" s="622"/>
      <c r="AK178" s="622"/>
      <c r="AL178" s="1641">
        <v>11</v>
      </c>
    </row>
    <row s="1641" customFormat="1" customHeight="1" ht="11.549999999999999">
      <c r="A179" s="987"/>
      <c r="B179" s="987"/>
      <c r="C179" s="987"/>
      <c r="D179" s="987"/>
      <c r="E179" s="987"/>
      <c r="F179" s="1636"/>
      <c r="G179" s="1636"/>
      <c r="H179" s="351"/>
      <c r="N179" s="1641"/>
      <c r="O179" s="1366"/>
      <c r="Q179" s="1366"/>
      <c r="R179" s="1636"/>
      <c r="S179" s="1636"/>
      <c r="T179" s="1366"/>
      <c r="U179" s="1366"/>
      <c r="V179" s="1366"/>
      <c r="W179" s="1366"/>
      <c r="X179" s="1636"/>
      <c r="Y179" s="1366"/>
      <c r="Z179" s="1366"/>
      <c r="AA179" s="544"/>
      <c r="AB179" s="1366"/>
      <c r="AC179" s="1366"/>
      <c r="AD179" s="1366"/>
      <c r="AE179" s="1366"/>
      <c r="AF179" s="1366"/>
      <c r="AG179" s="1632"/>
      <c r="AH179" s="622"/>
      <c r="AI179" s="622"/>
      <c r="AJ179" s="622"/>
      <c r="AK179" s="622"/>
      <c r="AL179" s="1641">
        <v>11</v>
      </c>
    </row>
    <row s="1641" customFormat="1" customHeight="1" ht="11.549999999999999">
      <c r="A180" s="987"/>
      <c r="B180" s="987"/>
      <c r="C180" s="987"/>
      <c r="D180" s="987"/>
      <c r="E180" s="987"/>
      <c r="F180" s="1636"/>
      <c r="G180" s="1636"/>
      <c r="H180" s="351"/>
      <c r="N180" s="1641"/>
      <c r="O180" s="1366"/>
      <c r="Q180" s="1366"/>
      <c r="R180" s="1636"/>
      <c r="S180" s="1636"/>
      <c r="T180" s="1366"/>
      <c r="U180" s="1366"/>
      <c r="V180" s="1366"/>
      <c r="W180" s="1366"/>
      <c r="X180" s="1636"/>
      <c r="Y180" s="1366"/>
      <c r="Z180" s="1366"/>
      <c r="AA180" s="544"/>
      <c r="AB180" s="1366"/>
      <c r="AC180" s="1366"/>
      <c r="AD180" s="1366"/>
      <c r="AE180" s="1366"/>
      <c r="AF180" s="1366"/>
      <c r="AG180" s="1632"/>
      <c r="AH180" s="622"/>
      <c r="AI180" s="622"/>
      <c r="AJ180" s="622"/>
      <c r="AK180" s="622"/>
      <c r="AL180" s="1641">
        <v>11</v>
      </c>
    </row>
    <row s="1641" customFormat="1" customHeight="1" ht="11.549999999999999">
      <c r="A181" s="987"/>
      <c r="B181" s="987"/>
      <c r="C181" s="987"/>
      <c r="D181" s="987"/>
      <c r="E181" s="987"/>
      <c r="F181" s="1636"/>
      <c r="G181" s="1636"/>
      <c r="H181" s="351"/>
      <c r="N181" s="1641"/>
      <c r="O181" s="1366"/>
      <c r="Q181" s="1366"/>
      <c r="R181" s="1636"/>
      <c r="S181" s="1636"/>
      <c r="T181" s="1366"/>
      <c r="U181" s="1366"/>
      <c r="V181" s="1366"/>
      <c r="W181" s="1366"/>
      <c r="X181" s="1636"/>
      <c r="Y181" s="1366"/>
      <c r="Z181" s="1366"/>
      <c r="AA181" s="544"/>
      <c r="AB181" s="1366"/>
      <c r="AC181" s="1366"/>
      <c r="AD181" s="1366"/>
      <c r="AE181" s="1366"/>
      <c r="AF181" s="1366"/>
      <c r="AG181" s="1632"/>
      <c r="AH181" s="622"/>
      <c r="AI181" s="622"/>
      <c r="AJ181" s="622"/>
      <c r="AK181" s="622"/>
      <c r="AL181" s="1641">
        <v>11</v>
      </c>
    </row>
    <row s="1641" customFormat="1" customHeight="1" ht="11.549999999999999">
      <c r="A182" s="987"/>
      <c r="B182" s="987"/>
      <c r="C182" s="987"/>
      <c r="D182" s="987"/>
      <c r="E182" s="987"/>
      <c r="F182" s="1636"/>
      <c r="G182" s="1636"/>
      <c r="H182" s="351"/>
      <c r="N182" s="1641"/>
      <c r="O182" s="1366"/>
      <c r="Q182" s="1366"/>
      <c r="R182" s="1636"/>
      <c r="S182" s="1636"/>
      <c r="T182" s="1366"/>
      <c r="U182" s="1366"/>
      <c r="V182" s="1366"/>
      <c r="W182" s="1366"/>
      <c r="X182" s="1636"/>
      <c r="Y182" s="1366"/>
      <c r="Z182" s="1366"/>
      <c r="AA182" s="544"/>
      <c r="AB182" s="1366"/>
      <c r="AC182" s="1366"/>
      <c r="AD182" s="1366"/>
      <c r="AE182" s="1366"/>
      <c r="AF182" s="1366"/>
      <c r="AG182" s="1632"/>
      <c r="AH182" s="622"/>
      <c r="AI182" s="622"/>
      <c r="AJ182" s="622"/>
      <c r="AK182" s="622"/>
      <c r="AL182" s="1641">
        <v>11</v>
      </c>
    </row>
    <row s="1641" customFormat="1" customHeight="1" ht="11.549999999999999">
      <c r="A183" s="987"/>
      <c r="B183" s="987"/>
      <c r="C183" s="987"/>
      <c r="D183" s="987"/>
      <c r="E183" s="987"/>
      <c r="F183" s="1636"/>
      <c r="G183" s="1636"/>
      <c r="H183" s="351"/>
      <c r="N183" s="1641"/>
      <c r="O183" s="1366"/>
      <c r="Q183" s="1366"/>
      <c r="R183" s="1636"/>
      <c r="S183" s="1636"/>
      <c r="T183" s="1366"/>
      <c r="U183" s="1366"/>
      <c r="V183" s="1366"/>
      <c r="W183" s="1366"/>
      <c r="X183" s="1636"/>
      <c r="Y183" s="1366"/>
      <c r="Z183" s="1366"/>
      <c r="AA183" s="544"/>
      <c r="AB183" s="1366"/>
      <c r="AC183" s="1366"/>
      <c r="AD183" s="1366"/>
      <c r="AE183" s="1366"/>
      <c r="AF183" s="1366"/>
      <c r="AG183" s="1632"/>
      <c r="AH183" s="622"/>
      <c r="AI183" s="622"/>
      <c r="AJ183" s="622"/>
      <c r="AK183" s="622"/>
      <c r="AL183" s="1641">
        <v>11</v>
      </c>
    </row>
    <row s="1641" customFormat="1" customHeight="1" ht="11.549999999999999">
      <c r="A184" s="987"/>
      <c r="B184" s="987"/>
      <c r="C184" s="987"/>
      <c r="D184" s="987"/>
      <c r="E184" s="987"/>
      <c r="F184" s="1636"/>
      <c r="G184" s="1636"/>
      <c r="H184" s="351"/>
      <c r="N184" s="1641"/>
      <c r="O184" s="1366"/>
      <c r="Q184" s="1366"/>
      <c r="R184" s="1636"/>
      <c r="S184" s="1636"/>
      <c r="T184" s="1366"/>
      <c r="U184" s="1366"/>
      <c r="V184" s="1366"/>
      <c r="W184" s="1366"/>
      <c r="X184" s="1636"/>
      <c r="Y184" s="1366"/>
      <c r="Z184" s="1366"/>
      <c r="AA184" s="544"/>
      <c r="AB184" s="1366"/>
      <c r="AC184" s="1366"/>
      <c r="AD184" s="1366"/>
      <c r="AE184" s="1366"/>
      <c r="AF184" s="1366"/>
      <c r="AG184" s="1632"/>
      <c r="AH184" s="622"/>
      <c r="AI184" s="622"/>
      <c r="AJ184" s="622"/>
      <c r="AK184" s="622"/>
      <c r="AL184" s="1641">
        <v>11</v>
      </c>
    </row>
    <row s="1641" customFormat="1" customHeight="1" ht="11.549999999999999">
      <c r="A185" s="987"/>
      <c r="B185" s="987"/>
      <c r="C185" s="987"/>
      <c r="D185" s="987"/>
      <c r="E185" s="987"/>
      <c r="F185" s="1636"/>
      <c r="G185" s="1636"/>
      <c r="H185" s="351"/>
      <c r="N185" s="1641"/>
      <c r="O185" s="1366"/>
      <c r="Q185" s="1366"/>
      <c r="R185" s="1636"/>
      <c r="S185" s="1636"/>
      <c r="T185" s="1366"/>
      <c r="U185" s="1366"/>
      <c r="V185" s="1366"/>
      <c r="W185" s="1366"/>
      <c r="X185" s="1636"/>
      <c r="Y185" s="1366"/>
      <c r="Z185" s="1366"/>
      <c r="AA185" s="544"/>
      <c r="AB185" s="1366"/>
      <c r="AC185" s="1366"/>
      <c r="AD185" s="1366"/>
      <c r="AE185" s="1366"/>
      <c r="AF185" s="1366"/>
      <c r="AG185" s="1632"/>
      <c r="AH185" s="622"/>
      <c r="AI185" s="622"/>
      <c r="AJ185" s="622"/>
      <c r="AK185" s="622"/>
      <c r="AL185" s="1641">
        <v>11</v>
      </c>
    </row>
    <row s="1641" customFormat="1" customHeight="1" ht="11.549999999999999">
      <c r="A186" s="987"/>
      <c r="B186" s="987"/>
      <c r="C186" s="987"/>
      <c r="D186" s="987"/>
      <c r="E186" s="987"/>
      <c r="F186" s="1636"/>
      <c r="G186" s="1636"/>
      <c r="H186" s="351"/>
      <c r="N186" s="1641"/>
      <c r="O186" s="1366"/>
      <c r="Q186" s="1366"/>
      <c r="R186" s="1636"/>
      <c r="S186" s="1636"/>
      <c r="T186" s="1366"/>
      <c r="U186" s="1366"/>
      <c r="V186" s="1366"/>
      <c r="W186" s="1366"/>
      <c r="X186" s="1636"/>
      <c r="Y186" s="1366"/>
      <c r="Z186" s="1366"/>
      <c r="AA186" s="544"/>
      <c r="AB186" s="1366"/>
      <c r="AC186" s="1366"/>
      <c r="AD186" s="1366"/>
      <c r="AE186" s="1366"/>
      <c r="AF186" s="1366"/>
      <c r="AG186" s="1632"/>
      <c r="AH186" s="622"/>
      <c r="AI186" s="622"/>
      <c r="AJ186" s="622"/>
      <c r="AK186" s="622"/>
      <c r="AL186" s="1641">
        <v>11</v>
      </c>
    </row>
    <row s="1641" customFormat="1" customHeight="1" ht="11.549999999999999">
      <c r="A187" s="987"/>
      <c r="B187" s="987"/>
      <c r="C187" s="987"/>
      <c r="D187" s="987"/>
      <c r="E187" s="987"/>
      <c r="F187" s="1636"/>
      <c r="G187" s="1636"/>
      <c r="H187" s="351"/>
      <c r="N187" s="1641"/>
      <c r="O187" s="1366"/>
      <c r="Q187" s="1366"/>
      <c r="R187" s="1636"/>
      <c r="S187" s="1636"/>
      <c r="T187" s="1366"/>
      <c r="U187" s="1366"/>
      <c r="V187" s="1366"/>
      <c r="W187" s="1366"/>
      <c r="X187" s="1636"/>
      <c r="Y187" s="1366"/>
      <c r="Z187" s="1366"/>
      <c r="AA187" s="544"/>
      <c r="AB187" s="1366"/>
      <c r="AC187" s="1366"/>
      <c r="AD187" s="1366"/>
      <c r="AE187" s="1366"/>
      <c r="AF187" s="1366"/>
      <c r="AG187" s="1632"/>
      <c r="AH187" s="622"/>
      <c r="AI187" s="622"/>
      <c r="AJ187" s="622"/>
      <c r="AK187" s="622"/>
      <c r="AL187" s="1641">
        <v>11</v>
      </c>
    </row>
    <row s="1641" customFormat="1" customHeight="1" ht="11.549999999999999">
      <c r="A188" s="987"/>
      <c r="B188" s="987"/>
      <c r="C188" s="987"/>
      <c r="D188" s="987"/>
      <c r="E188" s="987"/>
      <c r="F188" s="1636"/>
      <c r="G188" s="1636"/>
      <c r="H188" s="351"/>
      <c r="N188" s="1641"/>
      <c r="O188" s="1366"/>
      <c r="Q188" s="1366"/>
      <c r="R188" s="1636"/>
      <c r="S188" s="1636"/>
      <c r="T188" s="1366"/>
      <c r="U188" s="1366"/>
      <c r="V188" s="1366"/>
      <c r="W188" s="1366"/>
      <c r="X188" s="1636"/>
      <c r="Y188" s="1366"/>
      <c r="Z188" s="1366"/>
      <c r="AA188" s="544"/>
      <c r="AB188" s="1366"/>
      <c r="AC188" s="1366"/>
      <c r="AD188" s="1366"/>
      <c r="AE188" s="1366"/>
      <c r="AF188" s="1366"/>
      <c r="AG188" s="1632"/>
      <c r="AH188" s="622"/>
      <c r="AI188" s="622"/>
      <c r="AJ188" s="622"/>
      <c r="AK188" s="622"/>
      <c r="AL188" s="1641">
        <v>11</v>
      </c>
    </row>
    <row s="1641" customFormat="1" customHeight="1" ht="11.549999999999999">
      <c r="A189" s="987"/>
      <c r="B189" s="987"/>
      <c r="C189" s="987"/>
      <c r="D189" s="987"/>
      <c r="E189" s="987"/>
      <c r="F189" s="1636"/>
      <c r="G189" s="1636"/>
      <c r="H189" s="351"/>
      <c r="N189" s="1641"/>
      <c r="O189" s="1366"/>
      <c r="Q189" s="1366"/>
      <c r="R189" s="1636"/>
      <c r="S189" s="1636"/>
      <c r="T189" s="1366"/>
      <c r="U189" s="1366"/>
      <c r="V189" s="1366"/>
      <c r="W189" s="1366"/>
      <c r="X189" s="1636"/>
      <c r="Y189" s="1366"/>
      <c r="Z189" s="1366"/>
      <c r="AA189" s="544"/>
      <c r="AB189" s="1366"/>
      <c r="AC189" s="1366"/>
      <c r="AD189" s="1366"/>
      <c r="AE189" s="1366"/>
      <c r="AF189" s="1366"/>
      <c r="AG189" s="1632"/>
      <c r="AH189" s="622"/>
      <c r="AI189" s="622"/>
      <c r="AJ189" s="622"/>
      <c r="AK189" s="622"/>
      <c r="AL189" s="1641">
        <v>11</v>
      </c>
    </row>
    <row customHeight="1" ht="11.549999999999999">
      <c r="N190" s="1635"/>
      <c r="AL190" s="1631">
        <v>11</v>
      </c>
    </row>
    <row customHeight="1" ht="11.549999999999999">
      <c r="N191" s="1635"/>
      <c r="AL191" s="1631">
        <v>11</v>
      </c>
    </row>
    <row customHeight="1" ht="11.549999999999999">
      <c r="N192" s="1635"/>
      <c r="AL192" s="1631">
        <v>11</v>
      </c>
    </row>
    <row customHeight="1" ht="11.549999999999999">
      <c r="A193" s="990"/>
      <c r="B193" s="990"/>
      <c r="C193" s="990"/>
      <c r="D193" s="990"/>
      <c r="E193" s="990"/>
      <c r="F193" s="1631"/>
      <c r="H193" s="1631"/>
      <c r="N193" s="1635"/>
      <c r="O193" s="1631"/>
      <c r="Q193" s="1631"/>
      <c r="T193" s="1631"/>
      <c r="U193" s="1631"/>
      <c r="V193" s="1631"/>
      <c r="W193" s="1631"/>
      <c r="Y193" s="1631"/>
      <c r="Z193" s="1631"/>
      <c r="AA193" s="1631"/>
      <c r="AB193" s="1631"/>
      <c r="AC193" s="1631"/>
      <c r="AD193" s="1631"/>
      <c r="AE193" s="1631"/>
      <c r="AF193" s="1631"/>
      <c r="AG193" s="1631"/>
      <c r="AH193" s="1631"/>
      <c r="AI193" s="1631"/>
      <c r="AJ193" s="1631"/>
      <c r="AK193" s="1631"/>
      <c r="AL193" s="1631">
        <v>11</v>
      </c>
    </row>
    <row customHeight="1" ht="11.549999999999999">
      <c r="A194" s="990"/>
      <c r="B194" s="990"/>
      <c r="C194" s="990"/>
      <c r="D194" s="990"/>
      <c r="E194" s="990"/>
      <c r="F194" s="1631"/>
      <c r="H194" s="1631"/>
      <c r="N194" s="1635"/>
      <c r="O194" s="1631"/>
      <c r="Q194" s="1631"/>
      <c r="T194" s="1631"/>
      <c r="U194" s="1631"/>
      <c r="V194" s="1631"/>
      <c r="W194" s="1631"/>
      <c r="Y194" s="1631"/>
      <c r="Z194" s="1631"/>
      <c r="AA194" s="1631"/>
      <c r="AB194" s="1631"/>
      <c r="AC194" s="1631"/>
      <c r="AD194" s="1631"/>
      <c r="AE194" s="1631"/>
      <c r="AF194" s="1631"/>
      <c r="AG194" s="1631"/>
      <c r="AH194" s="1631"/>
      <c r="AI194" s="1631"/>
      <c r="AJ194" s="1631"/>
      <c r="AK194" s="1631"/>
      <c r="AL194" s="1631">
        <v>11</v>
      </c>
    </row>
    <row customHeight="1" ht="11.549999999999999">
      <c r="A195" s="990"/>
      <c r="B195" s="990"/>
      <c r="C195" s="990"/>
      <c r="D195" s="990"/>
      <c r="E195" s="990"/>
      <c r="F195" s="1631"/>
      <c r="H195" s="1631"/>
      <c r="N195" s="1635"/>
      <c r="O195" s="1631"/>
      <c r="Q195" s="1631"/>
      <c r="T195" s="1631"/>
      <c r="U195" s="1631"/>
      <c r="V195" s="1631"/>
      <c r="W195" s="1631"/>
      <c r="Y195" s="1631"/>
      <c r="Z195" s="1631"/>
      <c r="AA195" s="1631"/>
      <c r="AB195" s="1631"/>
      <c r="AC195" s="1631"/>
      <c r="AD195" s="1631"/>
      <c r="AE195" s="1631"/>
      <c r="AF195" s="1631"/>
      <c r="AG195" s="1631"/>
      <c r="AH195" s="1631"/>
      <c r="AI195" s="1631"/>
      <c r="AJ195" s="1631"/>
      <c r="AK195" s="1631"/>
      <c r="AL195" s="1631">
        <v>11</v>
      </c>
    </row>
    <row customHeight="1" ht="11.549999999999999">
      <c r="A196" s="990"/>
      <c r="B196" s="990"/>
      <c r="C196" s="990"/>
      <c r="D196" s="990"/>
      <c r="E196" s="990"/>
      <c r="F196" s="1631"/>
      <c r="H196" s="1631"/>
      <c r="N196" s="1635"/>
      <c r="O196" s="1631"/>
      <c r="Q196" s="1631"/>
      <c r="T196" s="1631"/>
      <c r="U196" s="1631"/>
      <c r="V196" s="1631"/>
      <c r="W196" s="1631"/>
      <c r="Y196" s="1631"/>
      <c r="Z196" s="1631"/>
      <c r="AA196" s="1631"/>
      <c r="AB196" s="1631"/>
      <c r="AC196" s="1631"/>
      <c r="AD196" s="1631"/>
      <c r="AE196" s="1631"/>
      <c r="AF196" s="1631"/>
      <c r="AG196" s="1631"/>
      <c r="AH196" s="1631"/>
      <c r="AI196" s="1631"/>
      <c r="AJ196" s="1631"/>
      <c r="AK196" s="1631"/>
      <c r="AL196" s="1631">
        <v>11</v>
      </c>
    </row>
    <row customHeight="1" ht="11.549999999999999">
      <c r="A197" s="990"/>
      <c r="B197" s="990"/>
      <c r="C197" s="990"/>
      <c r="D197" s="990"/>
      <c r="E197" s="990"/>
      <c r="F197" s="1631"/>
      <c r="H197" s="1631"/>
      <c r="N197" s="1635"/>
      <c r="O197" s="1631"/>
      <c r="Q197" s="1631"/>
      <c r="T197" s="1631"/>
      <c r="U197" s="1631"/>
      <c r="V197" s="1631"/>
      <c r="W197" s="1631"/>
      <c r="Y197" s="1631"/>
      <c r="Z197" s="1631"/>
      <c r="AA197" s="1631"/>
      <c r="AB197" s="1631"/>
      <c r="AC197" s="1631"/>
      <c r="AD197" s="1631"/>
      <c r="AE197" s="1631"/>
      <c r="AF197" s="1631"/>
      <c r="AG197" s="1631"/>
      <c r="AH197" s="1631"/>
      <c r="AI197" s="1631"/>
      <c r="AJ197" s="1631"/>
      <c r="AK197" s="1631"/>
      <c r="AL197" s="1631">
        <v>11</v>
      </c>
    </row>
    <row customHeight="1" ht="11.549999999999999">
      <c r="A198" s="990"/>
      <c r="B198" s="990"/>
      <c r="C198" s="990"/>
      <c r="D198" s="990"/>
      <c r="E198" s="990"/>
      <c r="F198" s="1631"/>
      <c r="H198" s="1631"/>
      <c r="N198" s="1635"/>
      <c r="O198" s="1631"/>
      <c r="Q198" s="1631"/>
      <c r="T198" s="1631"/>
      <c r="U198" s="1631"/>
      <c r="V198" s="1631"/>
      <c r="W198" s="1631"/>
      <c r="Y198" s="1631"/>
      <c r="Z198" s="1631"/>
      <c r="AA198" s="1631"/>
      <c r="AB198" s="1631"/>
      <c r="AC198" s="1631"/>
      <c r="AD198" s="1631"/>
      <c r="AE198" s="1631"/>
      <c r="AF198" s="1631"/>
      <c r="AG198" s="1631"/>
      <c r="AH198" s="1631"/>
      <c r="AI198" s="1631"/>
      <c r="AJ198" s="1631"/>
      <c r="AK198" s="1631"/>
      <c r="AL198" s="1631">
        <v>11</v>
      </c>
    </row>
    <row customHeight="1" ht="11.549999999999999">
      <c r="A199" s="990"/>
      <c r="B199" s="990"/>
      <c r="C199" s="990"/>
      <c r="D199" s="990"/>
      <c r="E199" s="990"/>
      <c r="F199" s="1631"/>
      <c r="H199" s="1631"/>
      <c r="N199" s="1635"/>
      <c r="O199" s="1631"/>
      <c r="Q199" s="1631"/>
      <c r="T199" s="1631"/>
      <c r="U199" s="1631"/>
      <c r="V199" s="1631"/>
      <c r="W199" s="1631"/>
      <c r="Y199" s="1631"/>
      <c r="Z199" s="1631"/>
      <c r="AA199" s="1631"/>
      <c r="AB199" s="1631"/>
      <c r="AC199" s="1631"/>
      <c r="AD199" s="1631"/>
      <c r="AE199" s="1631"/>
      <c r="AF199" s="1631"/>
      <c r="AG199" s="1631"/>
      <c r="AH199" s="1631"/>
      <c r="AI199" s="1631"/>
      <c r="AJ199" s="1631"/>
      <c r="AK199" s="1631"/>
      <c r="AL199" s="1631">
        <v>11</v>
      </c>
    </row>
    <row customHeight="1" ht="11.549999999999999">
      <c r="A200" s="990"/>
      <c r="B200" s="990"/>
      <c r="C200" s="990"/>
      <c r="D200" s="990"/>
      <c r="E200" s="990"/>
      <c r="F200" s="1631"/>
      <c r="H200" s="1631"/>
      <c r="N200" s="1635"/>
      <c r="O200" s="1631"/>
      <c r="Q200" s="1631"/>
      <c r="T200" s="1631"/>
      <c r="U200" s="1631"/>
      <c r="V200" s="1631"/>
      <c r="W200" s="1631"/>
      <c r="Y200" s="1631"/>
      <c r="Z200" s="1631"/>
      <c r="AA200" s="1631"/>
      <c r="AB200" s="1631"/>
      <c r="AC200" s="1631"/>
      <c r="AD200" s="1631"/>
      <c r="AE200" s="1631"/>
      <c r="AF200" s="1631"/>
      <c r="AG200" s="1631"/>
      <c r="AH200" s="1631"/>
      <c r="AI200" s="1631"/>
      <c r="AJ200" s="1631"/>
      <c r="AK200" s="1631"/>
      <c r="AL200" s="1631">
        <v>11</v>
      </c>
    </row>
    <row customHeight="1" ht="11.549999999999999">
      <c r="A201" s="990"/>
      <c r="B201" s="990"/>
      <c r="C201" s="990"/>
      <c r="D201" s="990"/>
      <c r="E201" s="990"/>
      <c r="F201" s="1631"/>
      <c r="H201" s="1631"/>
      <c r="N201" s="1635"/>
      <c r="O201" s="1631"/>
      <c r="Q201" s="1631"/>
      <c r="T201" s="1631"/>
      <c r="U201" s="1631"/>
      <c r="V201" s="1631"/>
      <c r="W201" s="1631"/>
      <c r="Y201" s="1631"/>
      <c r="Z201" s="1631"/>
      <c r="AA201" s="1631"/>
      <c r="AB201" s="1631"/>
      <c r="AC201" s="1631"/>
      <c r="AD201" s="1631"/>
      <c r="AE201" s="1631"/>
      <c r="AF201" s="1631"/>
      <c r="AG201" s="1631"/>
      <c r="AH201" s="1631"/>
      <c r="AI201" s="1631"/>
      <c r="AJ201" s="1631"/>
      <c r="AK201" s="1631"/>
      <c r="AL201" s="1631">
        <v>11</v>
      </c>
    </row>
    <row customHeight="1" ht="11.549999999999999">
      <c r="A202" s="990"/>
      <c r="B202" s="990"/>
      <c r="C202" s="990"/>
      <c r="D202" s="990"/>
      <c r="E202" s="990"/>
      <c r="F202" s="1631"/>
      <c r="H202" s="1631"/>
      <c r="N202" s="1635"/>
      <c r="O202" s="1631"/>
      <c r="Q202" s="1631"/>
      <c r="T202" s="1631"/>
      <c r="U202" s="1631"/>
      <c r="V202" s="1631"/>
      <c r="W202" s="1631"/>
      <c r="Y202" s="1631"/>
      <c r="Z202" s="1631"/>
      <c r="AA202" s="1631"/>
      <c r="AB202" s="1631"/>
      <c r="AC202" s="1631"/>
      <c r="AD202" s="1631"/>
      <c r="AE202" s="1631"/>
      <c r="AF202" s="1631"/>
      <c r="AG202" s="1631"/>
      <c r="AH202" s="1631"/>
      <c r="AI202" s="1631"/>
      <c r="AJ202" s="1631"/>
      <c r="AK202" s="1631"/>
      <c r="AL202" s="1631">
        <v>11</v>
      </c>
    </row>
    <row customHeight="1" ht="11.549999999999999">
      <c r="A203" s="990"/>
      <c r="B203" s="990"/>
      <c r="C203" s="990"/>
      <c r="D203" s="990"/>
      <c r="E203" s="990"/>
      <c r="F203" s="1631"/>
      <c r="H203" s="1631"/>
      <c r="N203" s="1635"/>
      <c r="O203" s="1631"/>
      <c r="Q203" s="1631"/>
      <c r="T203" s="1631"/>
      <c r="U203" s="1631"/>
      <c r="V203" s="1631"/>
      <c r="W203" s="1631"/>
      <c r="Y203" s="1631"/>
      <c r="Z203" s="1631"/>
      <c r="AA203" s="1631"/>
      <c r="AB203" s="1631"/>
      <c r="AC203" s="1631"/>
      <c r="AD203" s="1631"/>
      <c r="AE203" s="1631"/>
      <c r="AF203" s="1631"/>
      <c r="AG203" s="1631"/>
      <c r="AH203" s="1631"/>
      <c r="AI203" s="1631"/>
      <c r="AJ203" s="1631"/>
      <c r="AK203" s="1631"/>
      <c r="AL203" s="1631">
        <v>11</v>
      </c>
    </row>
    <row customHeight="1" ht="12.75" hidden="1">
      <c r="A204" s="987" t="s">
        <v>82</v>
      </c>
      <c r="B204" s="987" t="s">
        <v>153</v>
      </c>
      <c r="C204" s="987" t="s">
        <v>153</v>
      </c>
      <c r="D204" s="987" t="s">
        <v>153</v>
      </c>
      <c r="E204" s="987" t="s">
        <v>153</v>
      </c>
      <c r="F204" s="1635">
        <v>16</v>
      </c>
      <c r="G204" s="1636">
        <v>0</v>
      </c>
      <c r="H204" s="1635">
        <v>3</v>
      </c>
      <c r="I204" s="1631">
        <v>7</v>
      </c>
      <c r="J204" s="1631">
        <v>56</v>
      </c>
      <c r="K204" s="1631">
        <v>10</v>
      </c>
      <c r="L204" s="1631">
        <v>40</v>
      </c>
      <c r="M204" s="1631">
        <v>40</v>
      </c>
      <c r="N204" s="1635">
        <v>40</v>
      </c>
      <c r="O204" s="1366">
        <v>9</v>
      </c>
      <c r="P204" s="1631">
        <v>102</v>
      </c>
      <c r="Q204" s="1366">
        <v>9</v>
      </c>
      <c r="R204" s="1636">
        <v>5</v>
      </c>
      <c r="S204" s="1636">
        <v>3</v>
      </c>
      <c r="T204" s="1366">
        <v>3</v>
      </c>
      <c r="U204" s="1366">
        <v>3</v>
      </c>
      <c r="V204" s="1366">
        <v>3</v>
      </c>
      <c r="W204" s="1366">
        <v>3</v>
      </c>
      <c r="X204" s="1636">
        <v>10</v>
      </c>
      <c r="Y204" s="1366">
        <v>34</v>
      </c>
      <c r="Z204" s="1366">
        <v>9</v>
      </c>
      <c r="AA204" s="544">
        <v>8</v>
      </c>
      <c r="AB204" s="1366">
        <v>8</v>
      </c>
      <c r="AC204" s="1366">
        <v>8</v>
      </c>
      <c r="AD204" s="1366">
        <v>8</v>
      </c>
      <c r="AE204" s="1366">
        <v>8</v>
      </c>
      <c r="AF204" s="1366">
        <v>8</v>
      </c>
      <c r="AG204" s="1632">
        <v>8</v>
      </c>
      <c r="AH204" s="1632">
        <v>8</v>
      </c>
      <c r="AI204" s="1632">
        <v>8</v>
      </c>
      <c r="AJ204" s="1632">
        <v>8</v>
      </c>
      <c r="AK204" s="1632">
        <v>8</v>
      </c>
      <c r="AL204" s="1631">
        <v>11</v>
      </c>
    </row>
  </sheetData>
  <sheetProtection sort="0" autoFilter="0" insertRows="0" insertColumns="1" deleteRows="0" deleteColumns="0"/>
  <mergeCells count="7">
    <mergeCell ref="I6:M6"/>
    <mergeCell ref="I7:M7"/>
    <mergeCell ref="J10:K10"/>
    <mergeCell ref="P10:P14"/>
    <mergeCell ref="J11:K11"/>
    <mergeCell ref="J12:K12"/>
    <mergeCell ref="I13:K13"/>
  </mergeCells>
  <dataValidations count="4">
    <dataValidation type="decimal" allowBlank="1" showErrorMessage="1" errorTitle="Ошибка" error="Допускается ввод только неотрицательных чисел!" sqref="L32:N33 L19:N29 L16:N16 L2:N2">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L17:N17">
      <formula1>900</formula1>
    </dataValidation>
    <dataValidation type="whole" allowBlank="1" showErrorMessage="1" errorTitle="Ошибка" error="Допускается ввод только неотрицательных целых чисел!" sqref="L30:N31">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L15:N15 L34:N34">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drawing r:id="rId1"/>
</worksheet>
</file>

<file path=xl/worksheets/sheet3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5434638-6B8A-F057-DBFD-BCC274CC2028}" mc:Ignorable="x14ac xr xr2 xr3">
  <sheetPr>
    <tabColor theme="9" tint="-0.25"/>
  </sheetPr>
  <dimension ref="A1:W16"/>
  <sheetViews>
    <sheetView showGridLines="0" zoomScale="90" workbookViewId="0">
      <pane xSplit="11" ySplit="9" topLeftCell="L10" activePane="bottomRight" state="frozen"/>
      <selection pane="bottomLeft" activeCell="A10" sqref="A10"/>
      <selection pane="topRight" activeCell="L1" sqref="L1"/>
      <selection pane="bottomRight" activeCell="A1" sqref="A1"/>
    </sheetView>
  </sheetViews>
  <sheetFormatPr defaultColWidth="10.57421875" customHeight="1" defaultRowHeight="14.25"/>
  <cols>
    <col min="1" max="4" style="1635" width="10.57421875" hidden="1"/>
    <col min="5" max="5" style="2397" width="9.140625" hidden="1" customWidth="1"/>
    <col min="6" max="7" style="1366" width="9.140625" hidden="1" customWidth="1"/>
    <col min="8" max="8" style="344" width="3.00390625" customWidth="1"/>
    <col min="9" max="9" style="1635" width="6.00390625" customWidth="1"/>
    <col min="10" max="10" style="1635" width="63.00390625" customWidth="1"/>
    <col min="11" max="11" style="1635" width="9.00390625" customWidth="1"/>
    <col min="12" max="12" style="1635" width="39.00390625" customWidth="1"/>
    <col min="13" max="13" style="1635" width="89.00390625" customWidth="1"/>
    <col min="14" max="14" style="1635" width="10.00390625" customWidth="1"/>
    <col min="15" max="16" style="1624" width="10.00390625" customWidth="1"/>
    <col min="17" max="22" style="1635" width="10.00390625" customWidth="1"/>
    <col min="23" max="23" style="1635" width="10.57421875" hidden="1"/>
  </cols>
  <sheetData>
    <row customHeight="1" ht="22.5" hidden="1">
      <c r="S1" s="255"/>
      <c r="T1" s="255"/>
      <c r="V1" s="255"/>
      <c r="W1" s="1631" t="s">
        <v>14</v>
      </c>
    </row>
    <row customHeight="1" ht="22.5" hidden="1">
      <c r="B2" s="2053" t="s">
        <v>690</v>
      </c>
      <c r="C2" s="2053" t="s">
        <v>691</v>
      </c>
      <c r="D2" s="2052" t="s">
        <v>630</v>
      </c>
      <c r="E2" s="2058">
        <f>I2-3</f>
        <v>-3</v>
      </c>
      <c r="F2" s="2058">
        <f>J2</f>
        <v>0</v>
      </c>
      <c r="H2" s="1730" t="s">
        <v>122</v>
      </c>
      <c r="I2" s="2024"/>
      <c r="J2" s="1682"/>
      <c r="K2" s="2018" t="s">
        <v>308</v>
      </c>
      <c r="L2" s="1164"/>
      <c r="M2" s="297"/>
      <c r="N2" s="1624"/>
      <c r="P2" s="1631"/>
      <c r="W2" s="1631">
        <v>0</v>
      </c>
    </row>
    <row customHeight="1" ht="14.25" hidden="1">
      <c r="W3" s="1631">
        <v>0</v>
      </c>
    </row>
    <row customHeight="1" ht="6.3">
      <c r="H4" s="376"/>
      <c r="I4" s="457"/>
      <c r="J4" s="457"/>
      <c r="K4" s="457"/>
      <c r="L4" s="85"/>
      <c r="M4" s="85"/>
      <c r="W4" s="1631">
        <v>6</v>
      </c>
    </row>
    <row customHeight="1" ht="50.25">
      <c r="H5" s="376"/>
      <c r="I5" s="2248" t="s">
        <v>692</v>
      </c>
      <c r="J5" s="2248"/>
      <c r="K5" s="2248"/>
      <c r="L5" s="2248"/>
      <c r="M5" s="266"/>
      <c r="W5" s="1631">
        <v>48</v>
      </c>
    </row>
    <row customHeight="1" ht="18">
      <c r="H6" s="376"/>
      <c r="I6" s="2249" t="str">
        <f>IF(org=0,"Не определено",org)</f>
        <v>ПАО "ОГК-2"</v>
      </c>
      <c r="J6" s="2249"/>
      <c r="K6" s="2249"/>
      <c r="L6" s="2249"/>
      <c r="M6" s="266"/>
      <c r="W6" s="1631">
        <v>17</v>
      </c>
    </row>
    <row customHeight="1" ht="14.699999999999998">
      <c r="H7" s="376"/>
      <c r="I7" s="457"/>
      <c r="J7" s="463"/>
      <c r="K7" s="463"/>
      <c r="L7" s="752"/>
      <c r="M7" s="193"/>
      <c r="W7" s="1631">
        <v>14</v>
      </c>
    </row>
    <row customHeight="1" ht="14.699999999999998">
      <c r="H8" s="376"/>
      <c r="I8" s="2386" t="s">
        <v>302</v>
      </c>
      <c r="J8" s="2387"/>
      <c r="K8" s="2387"/>
      <c r="L8" s="2388"/>
      <c r="M8" s="2389" t="s">
        <v>303</v>
      </c>
      <c r="W8" s="1631">
        <v>14</v>
      </c>
    </row>
    <row customHeight="1" ht="35.699999999999996">
      <c r="E9" s="2051" t="s">
        <v>621</v>
      </c>
      <c r="F9" s="2051" t="s">
        <v>627</v>
      </c>
      <c r="H9" s="376"/>
      <c r="I9" s="2025" t="s">
        <v>88</v>
      </c>
      <c r="J9" s="2026" t="s">
        <v>304</v>
      </c>
      <c r="K9" s="2064" t="s">
        <v>568</v>
      </c>
      <c r="L9" s="2065" t="s">
        <v>305</v>
      </c>
      <c r="M9" s="2389"/>
      <c r="W9" s="1631">
        <v>34</v>
      </c>
    </row>
    <row customHeight="1" ht="35.699999999999996">
      <c r="B10" s="2053" t="s">
        <v>693</v>
      </c>
      <c r="C10" s="2053" t="s">
        <v>694</v>
      </c>
      <c r="D10" s="2052" t="s">
        <v>630</v>
      </c>
      <c r="E10" s="2056" t="s">
        <v>631</v>
      </c>
      <c r="F10" s="2056" t="s">
        <v>631</v>
      </c>
      <c r="H10" s="376"/>
      <c r="I10" s="2024" t="s">
        <v>109</v>
      </c>
      <c r="J10" s="1886" t="s">
        <v>695</v>
      </c>
      <c r="K10" s="2018" t="s">
        <v>308</v>
      </c>
      <c r="L10" s="818"/>
      <c r="M10" s="297" t="s">
        <v>696</v>
      </c>
      <c r="W10" s="1631">
        <v>34</v>
      </c>
    </row>
    <row customHeight="1" ht="50.25">
      <c r="B11" s="2053" t="s">
        <v>697</v>
      </c>
      <c r="C11" s="2053" t="s">
        <v>698</v>
      </c>
      <c r="D11" s="2052" t="s">
        <v>630</v>
      </c>
      <c r="E11" s="2056" t="s">
        <v>631</v>
      </c>
      <c r="F11" s="2056" t="s">
        <v>631</v>
      </c>
      <c r="H11" s="376"/>
      <c r="I11" s="2024" t="s">
        <v>110</v>
      </c>
      <c r="J11" s="1886" t="s">
        <v>699</v>
      </c>
      <c r="K11" s="2018" t="s">
        <v>308</v>
      </c>
      <c r="L11" s="818"/>
      <c r="M11" s="297" t="s">
        <v>696</v>
      </c>
      <c r="W11" s="1631">
        <v>48</v>
      </c>
    </row>
    <row customHeight="1" ht="48.29999999999999">
      <c r="B12" s="2053" t="s">
        <v>700</v>
      </c>
      <c r="C12" s="2053" t="s">
        <v>701</v>
      </c>
      <c r="D12" s="2052" t="s">
        <v>630</v>
      </c>
      <c r="E12" s="2056" t="s">
        <v>631</v>
      </c>
      <c r="F12" s="2056" t="s">
        <v>631</v>
      </c>
      <c r="H12" s="1688"/>
      <c r="I12" s="2024" t="s">
        <v>90</v>
      </c>
      <c r="J12" s="2031" t="s">
        <v>702</v>
      </c>
      <c r="K12" s="2018" t="s">
        <v>308</v>
      </c>
      <c r="L12" s="818"/>
      <c r="M12" s="297" t="s">
        <v>703</v>
      </c>
      <c r="N12" s="1624"/>
      <c r="P12" s="1631"/>
      <c r="W12" s="1631">
        <v>46</v>
      </c>
    </row>
    <row customHeight="1" ht="14.699999999999998">
      <c r="E13" s="343"/>
      <c r="H13" s="376"/>
      <c r="I13" s="347"/>
      <c r="J13" s="651" t="s">
        <v>704</v>
      </c>
      <c r="K13" s="571"/>
      <c r="L13" s="214"/>
      <c r="M13" s="297"/>
      <c r="W13" s="1631">
        <v>14</v>
      </c>
    </row>
    <row customHeight="1" ht="14.699999999999998">
      <c r="E14" s="343"/>
      <c r="H14" s="376"/>
      <c r="I14" s="1057"/>
      <c r="J14" s="1677"/>
      <c r="K14" s="1678"/>
      <c r="L14" s="1679"/>
      <c r="M14" s="2028"/>
      <c r="W14" s="1631">
        <v>14</v>
      </c>
    </row>
    <row customHeight="1" ht="14.699999999999998">
      <c r="I15" s="1681"/>
      <c r="J15" s="2385"/>
      <c r="K15" s="2385"/>
      <c r="L15" s="2385"/>
      <c r="M15" s="2385"/>
      <c r="W15" s="1631">
        <v>14</v>
      </c>
    </row>
    <row customHeight="1" ht="21" hidden="1">
      <c r="A16" s="2030" t="s">
        <v>82</v>
      </c>
      <c r="B16" s="1631">
        <v>9</v>
      </c>
      <c r="C16" s="1631">
        <v>9</v>
      </c>
      <c r="D16" s="1631">
        <v>9</v>
      </c>
      <c r="E16" s="2030" t="s">
        <v>152</v>
      </c>
      <c r="F16" s="2055" t="s">
        <v>152</v>
      </c>
      <c r="G16" s="2057"/>
      <c r="H16" s="344">
        <v>3</v>
      </c>
      <c r="I16" s="1631">
        <v>6</v>
      </c>
      <c r="J16" s="1631">
        <v>63</v>
      </c>
      <c r="K16" s="1631">
        <v>9</v>
      </c>
      <c r="L16" s="1631">
        <v>39</v>
      </c>
      <c r="M16" s="1631">
        <v>89</v>
      </c>
      <c r="N16" s="1631">
        <v>10</v>
      </c>
      <c r="O16" s="1624">
        <v>10</v>
      </c>
      <c r="P16" s="1624">
        <v>10</v>
      </c>
      <c r="Q16" s="1631">
        <v>10</v>
      </c>
      <c r="R16" s="1631">
        <v>10</v>
      </c>
      <c r="S16" s="1631">
        <v>10</v>
      </c>
      <c r="T16" s="1631">
        <v>10</v>
      </c>
      <c r="U16" s="1631">
        <v>10</v>
      </c>
      <c r="V16" s="1631">
        <v>10</v>
      </c>
      <c r="W16" s="1631">
        <v>23</v>
      </c>
    </row>
  </sheetData>
  <sheetProtection formatColumns="0" formatRows="0" sort="0" autoFilter="0" insertRows="0" insertColumns="1" deleteRows="0" deleteColumns="0"/>
  <mergeCells count="5">
    <mergeCell ref="J15:M15"/>
    <mergeCell ref="I5:L5"/>
    <mergeCell ref="I6:L6"/>
    <mergeCell ref="I8:L8"/>
    <mergeCell ref="M8:M9"/>
  </mergeCells>
  <dataValidations count="2">
    <dataValidation type="textLength" operator="lessThanOrEqual" allowBlank="1" showInputMessage="1" showErrorMessage="1" errorTitle="Ошибка" error="Допускается ввод не более 900 символов!" sqref="M10 J2">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либо ссылку на официальный сайт в сети «Интернет», на котором размещена информация" sqref="L2 L10:L12">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drawing r:id="rId1"/>
</worksheet>
</file>

<file path=xl/worksheets/sheet3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2C37F96-39BA-1338-61DB-DA1E4A8CAFA5}" mc:Ignorable="x14ac xr xr2 xr3">
  <sheetPr>
    <tabColor theme="9" tint="-0.25"/>
  </sheetPr>
  <dimension ref="A1:AG217"/>
  <sheetViews>
    <sheetView showGridLines="0" zoomScale="90" workbookViewId="0">
      <pane xSplit="8" ySplit="14" topLeftCell="J15" activePane="bottomRight" state="frozen"/>
      <selection pane="bottomLeft" activeCell="A15" sqref="A15"/>
      <selection pane="topRight" activeCell="I1" sqref="I1"/>
      <selection pane="bottomRight" activeCell="J9" sqref="J9"/>
    </sheetView>
  </sheetViews>
  <sheetFormatPr defaultColWidth="9.140625" customHeight="1" defaultRowHeight="11.25"/>
  <cols>
    <col min="1" max="1" style="987" width="10.7109375" hidden="1" customWidth="1"/>
    <col min="2" max="2" style="1366" width="16.8515625" hidden="1" customWidth="1"/>
    <col min="3" max="3" style="1642" width="5.57421875" hidden="1" customWidth="1"/>
    <col min="4" max="4" style="1635" width="3.00390625" customWidth="1"/>
    <col min="5" max="5" style="1635" width="7.00390625" customWidth="1"/>
    <col min="6" max="6" style="1635" width="56.00390625" customWidth="1"/>
    <col min="7" max="7" style="1635" width="10.00390625" customWidth="1"/>
    <col min="8" max="8" style="1635" width="40.7109375" hidden="1" customWidth="1"/>
    <col min="9" max="9" style="1635" width="40.00390625" customWidth="1"/>
    <col min="10" max="10" style="1635" width="40.7109375" customWidth="1"/>
    <col min="11" max="11" style="1635" width="102.00390625" customWidth="1"/>
    <col min="12" max="12" style="1366" width="9.00390625" customWidth="1"/>
    <col min="13" max="13" style="1642" width="5.00390625" customWidth="1"/>
    <col min="14" max="14" style="1642" width="3.00390625" customWidth="1"/>
    <col min="15" max="18" style="1366" width="3.00390625" customWidth="1"/>
    <col min="19" max="19" style="1642" width="10.00390625" customWidth="1"/>
    <col min="20" max="20" style="1366" width="34.00390625" customWidth="1"/>
    <col min="21" max="21" style="1366" width="9.00390625" customWidth="1"/>
    <col min="22" max="22" style="736" width="8.00390625" customWidth="1"/>
    <col min="23" max="27" style="1366" width="8.00390625" customWidth="1"/>
    <col min="28" max="32" style="1632" width="8.00390625" customWidth="1"/>
    <col min="33" max="33" style="1635" width="10.421875" hidden="1" customWidth="1"/>
  </cols>
  <sheetData>
    <row s="1366" customFormat="1" customHeight="1" ht="22.5" hidden="1">
      <c r="A1" s="987"/>
      <c r="C1" s="1636"/>
      <c r="D1" s="537"/>
      <c r="H1" s="1160">
        <v>4</v>
      </c>
      <c r="I1" s="1160">
        <v>4</v>
      </c>
      <c r="J1" s="1366">
        <v>4</v>
      </c>
      <c r="M1" s="1636"/>
      <c r="N1" s="1636"/>
      <c r="S1" s="1636"/>
      <c r="AG1" s="1160" t="s">
        <v>14</v>
      </c>
    </row>
    <row s="1366" customFormat="1" customHeight="1" ht="22.5" hidden="1">
      <c r="A2" s="987"/>
      <c r="C2" s="1636"/>
      <c r="D2" s="538"/>
      <c r="E2" s="1637"/>
      <c r="F2" s="540"/>
      <c r="G2" s="1639" t="s">
        <v>554</v>
      </c>
      <c r="H2" s="541"/>
      <c r="I2" s="541"/>
      <c r="J2" s="751"/>
      <c r="K2" s="542" t="s">
        <v>705</v>
      </c>
      <c r="L2" s="543"/>
      <c r="M2" s="1636"/>
      <c r="N2" s="1636"/>
      <c r="S2" s="1636"/>
      <c r="V2" s="544"/>
      <c r="AB2" s="1632"/>
      <c r="AC2" s="1632"/>
      <c r="AD2" s="1632"/>
      <c r="AE2" s="1632"/>
      <c r="AF2" s="1632"/>
      <c r="AG2" s="1160">
        <v>0</v>
      </c>
    </row>
    <row customHeight="1" ht="11.25" hidden="1">
      <c r="J3" s="1635"/>
      <c r="AG3" s="1631">
        <v>0</v>
      </c>
    </row>
    <row s="1632" customFormat="1" customHeight="1" ht="11.25" hidden="1">
      <c r="A4" s="987"/>
      <c r="B4" s="1160"/>
      <c r="C4" s="1636"/>
      <c r="D4" s="362"/>
      <c r="J4" s="1632"/>
      <c r="K4" s="1632">
        <v>4</v>
      </c>
      <c r="L4" s="1160"/>
      <c r="M4" s="1636"/>
      <c r="N4" s="1636"/>
      <c r="O4" s="1160"/>
      <c r="P4" s="1160"/>
      <c r="Q4" s="1160"/>
      <c r="R4" s="1160"/>
      <c r="S4" s="1636"/>
      <c r="T4" s="1160"/>
      <c r="U4" s="1160"/>
      <c r="V4" s="544"/>
      <c r="W4" s="1160"/>
      <c r="X4" s="1160"/>
      <c r="Y4" s="1160"/>
      <c r="Z4" s="1160"/>
      <c r="AA4" s="1160"/>
      <c r="AG4" s="1632">
        <v>0</v>
      </c>
    </row>
    <row customHeight="1" ht="11.549999999999999">
      <c r="J5" s="1635"/>
      <c r="AG5" s="1631">
        <v>11</v>
      </c>
    </row>
    <row customHeight="1" ht="31.5">
      <c r="E6" s="2307" t="s">
        <v>706</v>
      </c>
      <c r="F6" s="2307"/>
      <c r="G6" s="2307"/>
      <c r="H6" s="2307"/>
      <c r="I6" s="2307"/>
      <c r="J6" s="2307"/>
      <c r="K6" s="556"/>
      <c r="AG6" s="1631">
        <v>30</v>
      </c>
    </row>
    <row customHeight="1" ht="11.549999999999999">
      <c r="E7" s="2249" t="str">
        <f>IF(org=0,"Не определено",org)</f>
        <v>ПАО "ОГК-2"</v>
      </c>
      <c r="F7" s="2249"/>
      <c r="G7" s="2249"/>
      <c r="H7" s="2249"/>
      <c r="I7" s="2249"/>
      <c r="J7" s="2249"/>
      <c r="AG7" s="1631">
        <v>11</v>
      </c>
    </row>
    <row customHeight="1" ht="11.549999999999999">
      <c r="E8" s="1135"/>
      <c r="F8" s="1135"/>
      <c r="G8" s="1135"/>
      <c r="H8" s="1135"/>
      <c r="I8" s="1135"/>
      <c r="J8" s="1136" t="s">
        <v>22</v>
      </c>
      <c r="AG8" s="1631">
        <v>11</v>
      </c>
    </row>
    <row s="1642" customFormat="1" customHeight="1" ht="4.2">
      <c r="A9" s="1167"/>
      <c r="D9" s="1642"/>
      <c r="H9" s="889"/>
      <c r="I9" s="889" t="s">
        <v>117</v>
      </c>
      <c r="J9" s="889" t="s">
        <v>123</v>
      </c>
      <c r="AG9" s="1636">
        <v>4</v>
      </c>
    </row>
    <row customHeight="1" ht="11.549999999999999">
      <c r="E10" s="711"/>
      <c r="F10" s="2367" t="s">
        <v>105</v>
      </c>
      <c r="G10" s="2368"/>
      <c r="H10" s="1552" t="str">
        <f>IF(H9="","",INDEX(DIFFERENTIATION_UNMERGE_VD,MATCH(H9,DIFFERENTIATION_ID_DIFF,0)))</f>
        <v/>
      </c>
      <c r="I10" s="1552" t="str">
        <f>IF(I9="","",INDEX(DIFFERENTIATION_UNMERGE_VD,MATCH(I9,DIFFERENTIATION_ID_DIFF,0)))</f>
        <v>Производство тепловой энергии. Некомбинированная выработка</v>
      </c>
      <c r="J10" s="2393" t="str">
        <f>IF(J9="","",INDEX(DIFFERENTIATION_UNMERGE_VD,MATCH(J9,DIFFERENTIATION_ID_DIFF,0)))</f>
        <v>Производство. Теплоноситель</v>
      </c>
      <c r="K10" s="2127"/>
      <c r="AG10" s="1631">
        <v>11</v>
      </c>
    </row>
    <row customHeight="1" ht="11.549999999999999">
      <c r="E11" s="711"/>
      <c r="F11" s="2367" t="s">
        <v>566</v>
      </c>
      <c r="G11" s="2368"/>
      <c r="H11" s="1552" t="str">
        <f>IF(H9="","",INDEX(DIFFERENTIATION_UNMERGE_AREA,MATCH(H9,DIFFERENTIATION_ID_DIFF,0)))</f>
        <v/>
      </c>
      <c r="I11" s="1552" t="str">
        <f>IF(I9="","",INDEX(DIFFERENTIATION_UNMERGE_AREA,MATCH(I9,DIFFERENTIATION_ID_DIFF,0)))</f>
        <v>без дифференциации</v>
      </c>
      <c r="J11" s="2393" t="str">
        <f>IF(J9="","",INDEX(DIFFERENTIATION_UNMERGE_AREA,MATCH(J9,DIFFERENTIATION_ID_DIFF,0)))</f>
        <v>без дифференциации</v>
      </c>
      <c r="K11" s="2127"/>
      <c r="AG11" s="1631">
        <v>11</v>
      </c>
    </row>
    <row customHeight="1" ht="1.05">
      <c r="E12" s="1662"/>
      <c r="F12" s="2390" t="s">
        <v>567</v>
      </c>
      <c r="G12" s="2391"/>
      <c r="H12" s="1663" t="str">
        <f>IF(H9="","",INDEX(DIFFERENTIATION_UNMERGE_SYSTEM,MATCH(H9,DIFFERENTIATION_ID_DIFF,0)))</f>
        <v/>
      </c>
      <c r="I12" s="1663" t="str">
        <f>IF(I9="","",INDEX(DIFFERENTIATION_UNMERGE_SYSTEM,MATCH(I9,DIFFERENTIATION_ID_DIFF,0)))</f>
        <v>без дифференциации</v>
      </c>
      <c r="J12" s="1663" t="str">
        <f>IF(J9="","",INDEX(DIFFERENTIATION_UNMERGE_SYSTEM,MATCH(J9,DIFFERENTIATION_ID_DIFF,0)))</f>
        <v>без дифференциации</v>
      </c>
      <c r="K12" s="2127"/>
      <c r="AG12" s="1631">
        <v>1</v>
      </c>
    </row>
    <row customHeight="1" ht="11.549999999999999">
      <c r="E13" s="2369" t="s">
        <v>302</v>
      </c>
      <c r="F13" s="2370"/>
      <c r="G13" s="2370"/>
      <c r="H13" s="1551"/>
      <c r="I13" s="1551"/>
      <c r="J13" s="2367"/>
      <c r="K13" s="2127"/>
      <c r="AG13" s="1631">
        <v>11</v>
      </c>
    </row>
    <row customHeight="1" ht="24">
      <c r="E14" s="1639" t="s">
        <v>88</v>
      </c>
      <c r="F14" s="1634" t="s">
        <v>304</v>
      </c>
      <c r="G14" s="1634" t="s">
        <v>568</v>
      </c>
      <c r="H14" s="1634" t="s">
        <v>305</v>
      </c>
      <c r="I14" s="1634" t="s">
        <v>305</v>
      </c>
      <c r="J14" s="2312" t="s">
        <v>305</v>
      </c>
      <c r="K14" s="2127"/>
      <c r="AG14" s="1631">
        <v>23</v>
      </c>
    </row>
    <row customHeight="1" ht="19.95">
      <c r="D15" s="1638"/>
      <c r="E15" s="1630" t="s">
        <v>109</v>
      </c>
      <c r="F15" s="707" t="s">
        <v>707</v>
      </c>
      <c r="G15" s="1646" t="s">
        <v>554</v>
      </c>
      <c r="H15" s="557"/>
      <c r="I15" s="557"/>
      <c r="J15" s="557"/>
      <c r="K15" s="289" t="s">
        <v>708</v>
      </c>
      <c r="L15" s="543" t="s">
        <v>633</v>
      </c>
      <c r="AG15" s="1631">
        <v>19</v>
      </c>
    </row>
    <row customHeight="1" ht="35.699999999999996">
      <c r="D16" s="1638"/>
      <c r="E16" s="1630" t="s">
        <v>110</v>
      </c>
      <c r="F16" s="707" t="s">
        <v>709</v>
      </c>
      <c r="G16" s="1646" t="s">
        <v>554</v>
      </c>
      <c r="H16" s="558">
        <f>SUM(H17,H20:H32)</f>
        <v>0</v>
      </c>
      <c r="I16" s="558">
        <f>SUM(I17,I20,I23,I26,I29:I32)</f>
        <v>0</v>
      </c>
      <c r="J16" s="558">
        <f>SUM(J17,J20:J32)</f>
        <v>0</v>
      </c>
      <c r="K16" s="289" t="s">
        <v>710</v>
      </c>
      <c r="L16" s="543" t="s">
        <v>633</v>
      </c>
      <c r="AG16" s="1631">
        <v>34</v>
      </c>
    </row>
    <row customHeight="1" ht="19.95">
      <c r="D17" s="1638"/>
      <c r="E17" s="1664" t="s">
        <v>711</v>
      </c>
      <c r="F17" s="954" t="s">
        <v>712</v>
      </c>
      <c r="G17" s="1643" t="s">
        <v>554</v>
      </c>
      <c r="H17" s="557"/>
      <c r="I17" s="557"/>
      <c r="J17" s="557"/>
      <c r="K17" s="289" t="s">
        <v>713</v>
      </c>
      <c r="L17" s="543"/>
      <c r="AG17" s="1631">
        <v>19</v>
      </c>
    </row>
    <row customHeight="1" ht="24">
      <c r="D18" s="1638"/>
      <c r="E18" s="1664" t="s">
        <v>714</v>
      </c>
      <c r="F18" s="1650" t="s">
        <v>715</v>
      </c>
      <c r="G18" s="1643" t="s">
        <v>554</v>
      </c>
      <c r="H18" s="557"/>
      <c r="I18" s="557"/>
      <c r="J18" s="557"/>
      <c r="K18" s="289" t="s">
        <v>716</v>
      </c>
      <c r="L18" s="543"/>
      <c r="AG18" s="1631">
        <v>23</v>
      </c>
    </row>
    <row customHeight="1" ht="35.699999999999996">
      <c r="D19" s="1638"/>
      <c r="E19" s="1664" t="s">
        <v>717</v>
      </c>
      <c r="F19" s="1650" t="s">
        <v>718</v>
      </c>
      <c r="G19" s="1643" t="s">
        <v>554</v>
      </c>
      <c r="H19" s="557"/>
      <c r="I19" s="557"/>
      <c r="J19" s="557"/>
      <c r="K19" s="289"/>
      <c r="L19" s="543"/>
      <c r="AG19" s="1631">
        <v>34</v>
      </c>
    </row>
    <row customHeight="1" ht="19.95">
      <c r="D20" s="1638"/>
      <c r="E20" s="1664" t="s">
        <v>309</v>
      </c>
      <c r="F20" s="954" t="s">
        <v>719</v>
      </c>
      <c r="G20" s="1643" t="s">
        <v>554</v>
      </c>
      <c r="H20" s="557"/>
      <c r="I20" s="557"/>
      <c r="J20" s="557"/>
      <c r="K20" s="289" t="s">
        <v>720</v>
      </c>
      <c r="L20" s="543"/>
      <c r="AG20" s="1631">
        <v>19</v>
      </c>
    </row>
    <row customHeight="1" ht="19.95">
      <c r="D21" s="1638"/>
      <c r="E21" s="1664" t="s">
        <v>721</v>
      </c>
      <c r="F21" s="1650" t="s">
        <v>722</v>
      </c>
      <c r="G21" s="1643" t="s">
        <v>554</v>
      </c>
      <c r="H21" s="557"/>
      <c r="I21" s="557"/>
      <c r="J21" s="557"/>
      <c r="K21" s="289"/>
      <c r="L21" s="543"/>
      <c r="AG21" s="1631">
        <v>19</v>
      </c>
    </row>
    <row customHeight="1" ht="19.95">
      <c r="D22" s="1638"/>
      <c r="E22" s="1664" t="s">
        <v>723</v>
      </c>
      <c r="F22" s="1650" t="s">
        <v>724</v>
      </c>
      <c r="G22" s="1643" t="s">
        <v>554</v>
      </c>
      <c r="H22" s="557"/>
      <c r="I22" s="557"/>
      <c r="J22" s="557"/>
      <c r="K22" s="289"/>
      <c r="L22" s="543"/>
      <c r="AG22" s="1631">
        <v>19</v>
      </c>
    </row>
    <row customHeight="1" ht="24">
      <c r="D23" s="1638"/>
      <c r="E23" s="1664" t="s">
        <v>312</v>
      </c>
      <c r="F23" s="954" t="s">
        <v>725</v>
      </c>
      <c r="G23" s="1643" t="s">
        <v>554</v>
      </c>
      <c r="H23" s="557"/>
      <c r="I23" s="557"/>
      <c r="J23" s="557"/>
      <c r="K23" s="289" t="s">
        <v>726</v>
      </c>
      <c r="L23" s="543"/>
      <c r="AG23" s="1631">
        <v>23</v>
      </c>
    </row>
    <row customHeight="1" ht="19.95">
      <c r="D24" s="1638"/>
      <c r="E24" s="1664" t="s">
        <v>727</v>
      </c>
      <c r="F24" s="1650" t="s">
        <v>728</v>
      </c>
      <c r="G24" s="1643" t="s">
        <v>554</v>
      </c>
      <c r="H24" s="557"/>
      <c r="I24" s="557"/>
      <c r="J24" s="557"/>
      <c r="K24" s="289"/>
      <c r="L24" s="543"/>
      <c r="AG24" s="1631">
        <v>19</v>
      </c>
    </row>
    <row customHeight="1" ht="35.699999999999996">
      <c r="D25" s="1638"/>
      <c r="E25" s="1664" t="s">
        <v>729</v>
      </c>
      <c r="F25" s="1650" t="s">
        <v>730</v>
      </c>
      <c r="G25" s="1643" t="s">
        <v>554</v>
      </c>
      <c r="H25" s="557"/>
      <c r="I25" s="557"/>
      <c r="J25" s="557"/>
      <c r="K25" s="289"/>
      <c r="L25" s="543"/>
      <c r="AG25" s="1631">
        <v>34</v>
      </c>
    </row>
    <row customHeight="1" ht="24">
      <c r="D26" s="1638"/>
      <c r="E26" s="1664" t="s">
        <v>731</v>
      </c>
      <c r="F26" s="954" t="s">
        <v>732</v>
      </c>
      <c r="G26" s="1643" t="s">
        <v>554</v>
      </c>
      <c r="H26" s="557"/>
      <c r="I26" s="557"/>
      <c r="J26" s="557"/>
      <c r="K26" s="289" t="s">
        <v>733</v>
      </c>
      <c r="L26" s="543"/>
      <c r="AG26" s="1631">
        <v>23</v>
      </c>
    </row>
    <row customHeight="1" ht="19.95">
      <c r="D27" s="1638"/>
      <c r="E27" s="1675" t="s">
        <v>734</v>
      </c>
      <c r="F27" s="1650" t="s">
        <v>735</v>
      </c>
      <c r="G27" s="1654" t="s">
        <v>554</v>
      </c>
      <c r="H27" s="1676"/>
      <c r="I27" s="1676"/>
      <c r="J27" s="1676"/>
      <c r="K27" s="289"/>
      <c r="L27" s="543"/>
      <c r="AG27" s="1631">
        <v>19</v>
      </c>
    </row>
    <row customHeight="1" ht="19.95">
      <c r="D28" s="1638"/>
      <c r="E28" s="1675" t="s">
        <v>736</v>
      </c>
      <c r="F28" s="1650" t="s">
        <v>737</v>
      </c>
      <c r="G28" s="1654" t="s">
        <v>554</v>
      </c>
      <c r="H28" s="1676"/>
      <c r="I28" s="1676"/>
      <c r="J28" s="1676"/>
      <c r="K28" s="289"/>
      <c r="L28" s="543"/>
      <c r="AG28" s="1631">
        <v>19</v>
      </c>
    </row>
    <row customHeight="1" ht="19.95">
      <c r="D29" s="1638"/>
      <c r="E29" s="1675" t="s">
        <v>738</v>
      </c>
      <c r="F29" s="954" t="s">
        <v>739</v>
      </c>
      <c r="G29" s="1654" t="s">
        <v>554</v>
      </c>
      <c r="H29" s="1676"/>
      <c r="I29" s="1676"/>
      <c r="J29" s="1676"/>
      <c r="K29" s="289"/>
      <c r="L29" s="543"/>
      <c r="AG29" s="1631">
        <v>19</v>
      </c>
    </row>
    <row customHeight="1" ht="19.95">
      <c r="D30" s="1638"/>
      <c r="E30" s="1675" t="s">
        <v>740</v>
      </c>
      <c r="F30" s="954" t="s">
        <v>741</v>
      </c>
      <c r="G30" s="1654" t="s">
        <v>554</v>
      </c>
      <c r="H30" s="1676"/>
      <c r="I30" s="1676"/>
      <c r="J30" s="1676"/>
      <c r="K30" s="289"/>
      <c r="L30" s="543"/>
      <c r="AG30" s="1631">
        <v>19</v>
      </c>
    </row>
    <row customHeight="1" ht="19.95">
      <c r="D31" s="1638"/>
      <c r="E31" s="1675" t="s">
        <v>742</v>
      </c>
      <c r="F31" s="954" t="s">
        <v>743</v>
      </c>
      <c r="G31" s="1654" t="s">
        <v>554</v>
      </c>
      <c r="H31" s="1676"/>
      <c r="I31" s="1676"/>
      <c r="J31" s="1676"/>
      <c r="K31" s="289"/>
      <c r="L31" s="543"/>
      <c r="AG31" s="1631">
        <v>19</v>
      </c>
    </row>
    <row s="1366" customFormat="1" customHeight="1" ht="35.699999999999996">
      <c r="A32" s="987"/>
      <c r="C32" s="1636"/>
      <c r="D32" s="1638"/>
      <c r="E32" s="1675" t="s">
        <v>744</v>
      </c>
      <c r="F32" s="954" t="s">
        <v>745</v>
      </c>
      <c r="G32" s="1644" t="s">
        <v>554</v>
      </c>
      <c r="H32" s="579">
        <f>SUM(H33:H34)</f>
        <v>0</v>
      </c>
      <c r="I32" s="579">
        <f>SUM(I33:I34)</f>
        <v>0</v>
      </c>
      <c r="J32" s="579">
        <f>SUM(J33:J34)</f>
        <v>0</v>
      </c>
      <c r="K32" s="289" t="s">
        <v>746</v>
      </c>
      <c r="L32" s="543"/>
      <c r="M32" s="1636"/>
      <c r="N32" s="1636"/>
      <c r="S32" s="1636"/>
      <c r="V32" s="544"/>
      <c r="AB32" s="1632"/>
      <c r="AC32" s="1632"/>
      <c r="AD32" s="1632"/>
      <c r="AE32" s="1632"/>
      <c r="AF32" s="1632"/>
      <c r="AG32" s="1160">
        <v>34</v>
      </c>
    </row>
    <row s="1642" customFormat="1" customHeight="1" ht="1.05">
      <c r="A33" s="1167"/>
      <c r="D33" s="548"/>
      <c r="E33" s="802" t="str">
        <f>E32&amp;".0"</f>
        <v>2.8.0</v>
      </c>
      <c r="F33" s="991"/>
      <c r="G33" s="551"/>
      <c r="H33" s="992"/>
      <c r="I33" s="992"/>
      <c r="J33" s="992"/>
      <c r="K33" s="993"/>
      <c r="AG33" s="1636">
        <v>1</v>
      </c>
    </row>
    <row s="1366" customFormat="1" customHeight="1" ht="19.95">
      <c r="A34" s="987"/>
      <c r="C34" s="1636"/>
      <c r="D34" s="1633"/>
      <c r="E34" s="570"/>
      <c r="F34" s="1666" t="s">
        <v>579</v>
      </c>
      <c r="G34" s="572"/>
      <c r="H34" s="573"/>
      <c r="I34" s="573"/>
      <c r="J34" s="2640"/>
      <c r="K34" s="301" t="s">
        <v>747</v>
      </c>
      <c r="L34" s="543"/>
      <c r="M34" s="1636"/>
      <c r="N34" s="1636"/>
      <c r="S34" s="1636"/>
      <c r="V34" s="544"/>
      <c r="AB34" s="1632"/>
      <c r="AC34" s="1632"/>
      <c r="AD34" s="1632"/>
      <c r="AE34" s="1632"/>
      <c r="AF34" s="1632"/>
      <c r="AG34" s="1160">
        <v>19</v>
      </c>
    </row>
    <row customHeight="1" ht="60">
      <c r="D35" s="1638"/>
      <c r="E35" s="1675" t="s">
        <v>748</v>
      </c>
      <c r="F35" s="954" t="s">
        <v>749</v>
      </c>
      <c r="G35" s="1654" t="s">
        <v>554</v>
      </c>
      <c r="H35" s="1676"/>
      <c r="I35" s="1676"/>
      <c r="J35" s="1676"/>
      <c r="K35" s="289" t="s">
        <v>750</v>
      </c>
      <c r="L35" s="543"/>
      <c r="AG35" s="1631">
        <v>57</v>
      </c>
    </row>
    <row s="1366" customFormat="1" customHeight="1" ht="24">
      <c r="A36" s="989" t="s">
        <v>580</v>
      </c>
      <c r="C36" s="1636"/>
      <c r="D36" s="1638"/>
      <c r="E36" s="1664" t="s">
        <v>90</v>
      </c>
      <c r="F36" s="707" t="s">
        <v>751</v>
      </c>
      <c r="G36" s="1643" t="s">
        <v>554</v>
      </c>
      <c r="H36" s="557"/>
      <c r="I36" s="557"/>
      <c r="J36" s="557"/>
      <c r="K36" s="289" t="s">
        <v>752</v>
      </c>
      <c r="L36" s="543"/>
      <c r="M36" s="1636"/>
      <c r="N36" s="1636"/>
      <c r="S36" s="1636"/>
      <c r="V36" s="544"/>
      <c r="AB36" s="1632"/>
      <c r="AC36" s="1632"/>
      <c r="AD36" s="1632"/>
      <c r="AE36" s="1632"/>
      <c r="AF36" s="1632"/>
      <c r="AG36" s="1160">
        <v>23</v>
      </c>
    </row>
    <row s="1366" customFormat="1" customHeight="1" ht="35.699999999999996">
      <c r="A37" s="989"/>
      <c r="C37" s="1636"/>
      <c r="D37" s="1638"/>
      <c r="E37" s="1664" t="s">
        <v>326</v>
      </c>
      <c r="F37" s="954" t="s">
        <v>753</v>
      </c>
      <c r="G37" s="1654"/>
      <c r="H37" s="557"/>
      <c r="I37" s="557"/>
      <c r="J37" s="557"/>
      <c r="K37" s="289"/>
      <c r="L37" s="543"/>
      <c r="M37" s="1636"/>
      <c r="N37" s="1636"/>
      <c r="S37" s="1636"/>
      <c r="V37" s="544"/>
      <c r="AB37" s="1632"/>
      <c r="AC37" s="1632"/>
      <c r="AD37" s="1632"/>
      <c r="AE37" s="1632"/>
      <c r="AF37" s="1632"/>
      <c r="AG37" s="1160">
        <v>34</v>
      </c>
    </row>
    <row s="1366" customFormat="1" customHeight="1" ht="19.95">
      <c r="A38" s="987"/>
      <c r="C38" s="1636"/>
      <c r="D38" s="575"/>
      <c r="E38" s="1664" t="s">
        <v>91</v>
      </c>
      <c r="F38" s="707" t="s">
        <v>754</v>
      </c>
      <c r="G38" s="1643" t="s">
        <v>554</v>
      </c>
      <c r="H38" s="557"/>
      <c r="I38" s="557"/>
      <c r="J38" s="557"/>
      <c r="K38" s="289" t="s">
        <v>755</v>
      </c>
      <c r="L38" s="543"/>
      <c r="M38" s="1636"/>
      <c r="N38" s="1636"/>
      <c r="S38" s="1636"/>
      <c r="V38" s="544"/>
      <c r="AB38" s="1632"/>
      <c r="AC38" s="1632"/>
      <c r="AD38" s="1632"/>
      <c r="AE38" s="1632"/>
      <c r="AF38" s="1632"/>
      <c r="AG38" s="1160">
        <v>19</v>
      </c>
    </row>
    <row s="1366" customFormat="1" customHeight="1" ht="24">
      <c r="A39" s="987"/>
      <c r="C39" s="1636"/>
      <c r="D39" s="575"/>
      <c r="E39" s="1664" t="s">
        <v>756</v>
      </c>
      <c r="F39" s="954" t="s">
        <v>757</v>
      </c>
      <c r="G39" s="1654" t="s">
        <v>554</v>
      </c>
      <c r="H39" s="557"/>
      <c r="I39" s="557"/>
      <c r="J39" s="557"/>
      <c r="K39" s="289" t="s">
        <v>758</v>
      </c>
      <c r="L39" s="543"/>
      <c r="M39" s="1636"/>
      <c r="N39" s="1636"/>
      <c r="S39" s="1636"/>
      <c r="V39" s="544"/>
      <c r="AB39" s="1632"/>
      <c r="AC39" s="1632"/>
      <c r="AD39" s="1632"/>
      <c r="AE39" s="1632"/>
      <c r="AF39" s="1632"/>
      <c r="AG39" s="1160">
        <v>23</v>
      </c>
    </row>
    <row s="1366" customFormat="1" customHeight="1" ht="24">
      <c r="A40" s="987"/>
      <c r="C40" s="1636"/>
      <c r="D40" s="1638"/>
      <c r="E40" s="1664" t="s">
        <v>759</v>
      </c>
      <c r="F40" s="1650" t="s">
        <v>760</v>
      </c>
      <c r="G40" s="1643" t="s">
        <v>554</v>
      </c>
      <c r="H40" s="557"/>
      <c r="I40" s="557"/>
      <c r="J40" s="557"/>
      <c r="K40" s="289" t="s">
        <v>761</v>
      </c>
      <c r="L40" s="543"/>
      <c r="M40" s="1636"/>
      <c r="N40" s="1636"/>
      <c r="S40" s="1636"/>
      <c r="V40" s="544"/>
      <c r="AB40" s="1632"/>
      <c r="AC40" s="1632"/>
      <c r="AD40" s="1632"/>
      <c r="AE40" s="1632"/>
      <c r="AF40" s="1632"/>
      <c r="AG40" s="1160">
        <v>23</v>
      </c>
    </row>
    <row s="1366" customFormat="1" customHeight="1" ht="24">
      <c r="A41" s="987"/>
      <c r="C41" s="1636"/>
      <c r="D41" s="1638"/>
      <c r="E41" s="1664" t="s">
        <v>762</v>
      </c>
      <c r="F41" s="1650" t="s">
        <v>763</v>
      </c>
      <c r="G41" s="1643" t="s">
        <v>554</v>
      </c>
      <c r="H41" s="557"/>
      <c r="I41" s="557"/>
      <c r="J41" s="557"/>
      <c r="K41" s="289" t="s">
        <v>764</v>
      </c>
      <c r="L41" s="543"/>
      <c r="M41" s="1636"/>
      <c r="N41" s="1636"/>
      <c r="S41" s="1636"/>
      <c r="V41" s="544"/>
      <c r="AB41" s="1632"/>
      <c r="AC41" s="1632"/>
      <c r="AD41" s="1632"/>
      <c r="AE41" s="1632"/>
      <c r="AF41" s="1632"/>
      <c r="AG41" s="1160">
        <v>23</v>
      </c>
    </row>
    <row s="1366" customFormat="1" customHeight="1" ht="24">
      <c r="A42" s="987"/>
      <c r="C42" s="1636"/>
      <c r="D42" s="1638"/>
      <c r="E42" s="1664" t="s">
        <v>765</v>
      </c>
      <c r="F42" s="1650" t="s">
        <v>766</v>
      </c>
      <c r="G42" s="1643" t="s">
        <v>554</v>
      </c>
      <c r="H42" s="557"/>
      <c r="I42" s="557"/>
      <c r="J42" s="557"/>
      <c r="K42" s="289" t="s">
        <v>767</v>
      </c>
      <c r="L42" s="543"/>
      <c r="M42" s="1636"/>
      <c r="N42" s="1636"/>
      <c r="S42" s="1636"/>
      <c r="V42" s="544"/>
      <c r="AB42" s="1632"/>
      <c r="AC42" s="1632"/>
      <c r="AD42" s="1632"/>
      <c r="AE42" s="1632"/>
      <c r="AF42" s="1632"/>
      <c r="AG42" s="1160">
        <v>23</v>
      </c>
    </row>
    <row s="1366" customFormat="1" customHeight="1" ht="35.699999999999996">
      <c r="A43" s="987"/>
      <c r="C43" s="1636" t="s">
        <v>590</v>
      </c>
      <c r="D43" s="1638"/>
      <c r="E43" s="1664" t="s">
        <v>111</v>
      </c>
      <c r="F43" s="707" t="s">
        <v>632</v>
      </c>
      <c r="G43" s="1646" t="s">
        <v>768</v>
      </c>
      <c r="H43" s="401"/>
      <c r="I43" s="401"/>
      <c r="J43" s="818"/>
      <c r="K43" s="289" t="s">
        <v>769</v>
      </c>
      <c r="L43" s="543"/>
      <c r="M43" s="1636"/>
      <c r="N43" s="1636"/>
      <c r="S43" s="1636"/>
      <c r="V43" s="544"/>
      <c r="AB43" s="1632"/>
      <c r="AC43" s="1632"/>
      <c r="AD43" s="1632"/>
      <c r="AE43" s="1632"/>
      <c r="AF43" s="1632"/>
      <c r="AG43" s="1160">
        <v>34</v>
      </c>
    </row>
    <row s="1366" customFormat="1" customHeight="1" ht="35.699999999999996">
      <c r="A44" s="987"/>
      <c r="C44" s="1636"/>
      <c r="D44" s="1638"/>
      <c r="E44" s="1664" t="s">
        <v>92</v>
      </c>
      <c r="F44" s="707" t="s">
        <v>770</v>
      </c>
      <c r="G44" s="1643" t="s">
        <v>771</v>
      </c>
      <c r="H44" s="545"/>
      <c r="I44" s="545"/>
      <c r="J44" s="545"/>
      <c r="K44" s="289" t="s">
        <v>772</v>
      </c>
      <c r="L44" s="543"/>
      <c r="M44" s="1636"/>
      <c r="N44" s="1636"/>
      <c r="S44" s="1636"/>
      <c r="V44" s="544"/>
      <c r="AB44" s="1632"/>
      <c r="AC44" s="1632"/>
      <c r="AD44" s="1632"/>
      <c r="AE44" s="1632"/>
      <c r="AF44" s="1632"/>
      <c r="AG44" s="1160">
        <v>34</v>
      </c>
    </row>
    <row s="1366" customFormat="1" customHeight="1" ht="24">
      <c r="A45" s="987"/>
      <c r="C45" s="1636"/>
      <c r="D45" s="1638"/>
      <c r="E45" s="1664" t="s">
        <v>93</v>
      </c>
      <c r="F45" s="707" t="s">
        <v>773</v>
      </c>
      <c r="G45" s="1654" t="s">
        <v>774</v>
      </c>
      <c r="H45" s="545"/>
      <c r="I45" s="545"/>
      <c r="J45" s="545"/>
      <c r="K45" s="289" t="s">
        <v>775</v>
      </c>
      <c r="L45" s="543"/>
      <c r="M45" s="1636"/>
      <c r="N45" s="1636"/>
      <c r="S45" s="1636"/>
      <c r="V45" s="544"/>
      <c r="AB45" s="1632"/>
      <c r="AC45" s="1632"/>
      <c r="AD45" s="1632"/>
      <c r="AE45" s="1632"/>
      <c r="AF45" s="1632"/>
      <c r="AG45" s="1160">
        <v>23</v>
      </c>
    </row>
    <row s="1366" customFormat="1" customHeight="1" ht="19.95">
      <c r="A46" s="987"/>
      <c r="C46" s="1636"/>
      <c r="D46" s="1638"/>
      <c r="E46" s="1664" t="s">
        <v>112</v>
      </c>
      <c r="F46" s="707" t="s">
        <v>776</v>
      </c>
      <c r="G46" s="1643" t="s">
        <v>592</v>
      </c>
      <c r="H46" s="577"/>
      <c r="I46" s="577"/>
      <c r="J46" s="577"/>
      <c r="K46" s="289"/>
      <c r="L46" s="543"/>
      <c r="M46" s="1636"/>
      <c r="N46" s="1636"/>
      <c r="S46" s="1636"/>
      <c r="V46" s="544"/>
      <c r="AB46" s="1632"/>
      <c r="AC46" s="1632"/>
      <c r="AD46" s="1632"/>
      <c r="AE46" s="1632"/>
      <c r="AF46" s="1632"/>
      <c r="AG46" s="1160">
        <v>19</v>
      </c>
    </row>
    <row customHeight="1" ht="11.549999999999999">
      <c r="D47" s="1638"/>
      <c r="J47" s="1635"/>
      <c r="AG47" s="1631">
        <v>11</v>
      </c>
    </row>
    <row s="1641" customFormat="1" customHeight="1" ht="11.549999999999999">
      <c r="A48" s="987"/>
      <c r="B48" s="1636"/>
      <c r="C48" s="1636"/>
      <c r="D48" s="351"/>
      <c r="J48" s="1641"/>
      <c r="L48" s="1160"/>
      <c r="M48" s="1636"/>
      <c r="N48" s="1636"/>
      <c r="O48" s="1160"/>
      <c r="P48" s="1160"/>
      <c r="Q48" s="1160"/>
      <c r="R48" s="1160"/>
      <c r="S48" s="1636"/>
      <c r="T48" s="1160"/>
      <c r="U48" s="1160"/>
      <c r="V48" s="544"/>
      <c r="W48" s="1160"/>
      <c r="X48" s="1160"/>
      <c r="Y48" s="1160"/>
      <c r="Z48" s="1160"/>
      <c r="AA48" s="1160"/>
      <c r="AB48" s="1632"/>
      <c r="AC48" s="566"/>
      <c r="AD48" s="566"/>
      <c r="AE48" s="566"/>
      <c r="AF48" s="566"/>
      <c r="AG48" s="1641">
        <v>11</v>
      </c>
    </row>
    <row s="1641" customFormat="1" customHeight="1" ht="11.549999999999999">
      <c r="A49" s="987"/>
      <c r="B49" s="1636"/>
      <c r="C49" s="1636"/>
      <c r="D49" s="351"/>
      <c r="J49" s="1641"/>
      <c r="L49" s="1160"/>
      <c r="M49" s="1636"/>
      <c r="N49" s="1636"/>
      <c r="O49" s="1160"/>
      <c r="P49" s="1160"/>
      <c r="Q49" s="1160"/>
      <c r="R49" s="1160"/>
      <c r="S49" s="1636"/>
      <c r="T49" s="1160"/>
      <c r="U49" s="1160"/>
      <c r="V49" s="544"/>
      <c r="W49" s="1160"/>
      <c r="X49" s="1160"/>
      <c r="Y49" s="1160"/>
      <c r="Z49" s="1160"/>
      <c r="AA49" s="1160"/>
      <c r="AB49" s="1632"/>
      <c r="AC49" s="566"/>
      <c r="AD49" s="566"/>
      <c r="AE49" s="566"/>
      <c r="AF49" s="566"/>
      <c r="AG49" s="1641">
        <v>11</v>
      </c>
    </row>
    <row s="1641" customFormat="1" customHeight="1" ht="11.549999999999999">
      <c r="A50" s="987"/>
      <c r="B50" s="1636"/>
      <c r="C50" s="1636"/>
      <c r="D50" s="351"/>
      <c r="H50" s="566"/>
      <c r="I50" s="566"/>
      <c r="J50" s="622"/>
      <c r="L50" s="1160"/>
      <c r="M50" s="1636"/>
      <c r="N50" s="1636"/>
      <c r="O50" s="1160"/>
      <c r="P50" s="1160"/>
      <c r="Q50" s="1160"/>
      <c r="R50" s="1160"/>
      <c r="S50" s="1636"/>
      <c r="T50" s="1160"/>
      <c r="U50" s="1160"/>
      <c r="V50" s="544"/>
      <c r="W50" s="1160"/>
      <c r="X50" s="1160"/>
      <c r="Y50" s="1160"/>
      <c r="Z50" s="1160"/>
      <c r="AA50" s="1160"/>
      <c r="AB50" s="1632"/>
      <c r="AC50" s="566"/>
      <c r="AD50" s="566"/>
      <c r="AE50" s="566"/>
      <c r="AF50" s="566"/>
      <c r="AG50" s="1641">
        <v>11</v>
      </c>
    </row>
    <row s="1641" customFormat="1" customHeight="1" ht="11.549999999999999">
      <c r="A51" s="987"/>
      <c r="B51" s="1636"/>
      <c r="C51" s="1636"/>
      <c r="D51" s="351"/>
      <c r="J51" s="1641"/>
      <c r="L51" s="1160"/>
      <c r="M51" s="1636"/>
      <c r="N51" s="1636"/>
      <c r="O51" s="1160"/>
      <c r="P51" s="1160"/>
      <c r="Q51" s="1160"/>
      <c r="R51" s="1160"/>
      <c r="S51" s="1636"/>
      <c r="T51" s="1160"/>
      <c r="U51" s="1160"/>
      <c r="V51" s="544"/>
      <c r="W51" s="1160"/>
      <c r="X51" s="1160"/>
      <c r="Y51" s="1160"/>
      <c r="Z51" s="1160"/>
      <c r="AA51" s="1160"/>
      <c r="AB51" s="1632"/>
      <c r="AC51" s="566"/>
      <c r="AD51" s="566"/>
      <c r="AE51" s="566"/>
      <c r="AF51" s="566"/>
      <c r="AG51" s="1641">
        <v>11</v>
      </c>
    </row>
    <row s="1641" customFormat="1" customHeight="1" ht="11.549999999999999">
      <c r="A52" s="987"/>
      <c r="B52" s="1636"/>
      <c r="C52" s="1636"/>
      <c r="D52" s="351"/>
      <c r="J52" s="1641"/>
      <c r="L52" s="1160"/>
      <c r="M52" s="1636"/>
      <c r="N52" s="1636"/>
      <c r="O52" s="1160"/>
      <c r="P52" s="1160"/>
      <c r="Q52" s="1160"/>
      <c r="R52" s="1160"/>
      <c r="S52" s="1636"/>
      <c r="T52" s="1160"/>
      <c r="U52" s="1160"/>
      <c r="V52" s="544"/>
      <c r="W52" s="1160"/>
      <c r="X52" s="1160"/>
      <c r="Y52" s="1160"/>
      <c r="Z52" s="1160"/>
      <c r="AA52" s="1160"/>
      <c r="AB52" s="1632"/>
      <c r="AC52" s="566"/>
      <c r="AD52" s="566"/>
      <c r="AE52" s="566"/>
      <c r="AF52" s="566"/>
      <c r="AG52" s="1641">
        <v>11</v>
      </c>
    </row>
    <row s="1641" customFormat="1" customHeight="1" ht="11.549999999999999">
      <c r="A53" s="987"/>
      <c r="B53" s="1636"/>
      <c r="C53" s="1636"/>
      <c r="D53" s="351"/>
      <c r="J53" s="1641"/>
      <c r="L53" s="1160"/>
      <c r="M53" s="1636"/>
      <c r="N53" s="1636"/>
      <c r="O53" s="1160"/>
      <c r="P53" s="1160"/>
      <c r="Q53" s="1160"/>
      <c r="R53" s="1160"/>
      <c r="S53" s="1636"/>
      <c r="T53" s="1160"/>
      <c r="U53" s="1160"/>
      <c r="V53" s="544"/>
      <c r="W53" s="1160"/>
      <c r="X53" s="1160"/>
      <c r="Y53" s="1160"/>
      <c r="Z53" s="1160"/>
      <c r="AA53" s="1160"/>
      <c r="AB53" s="1632"/>
      <c r="AC53" s="566"/>
      <c r="AD53" s="566"/>
      <c r="AE53" s="566"/>
      <c r="AF53" s="566"/>
      <c r="AG53" s="1641">
        <v>11</v>
      </c>
    </row>
    <row s="1641" customFormat="1" customHeight="1" ht="11.549999999999999">
      <c r="A54" s="987"/>
      <c r="B54" s="1636"/>
      <c r="C54" s="1636"/>
      <c r="D54" s="351"/>
      <c r="J54" s="1641"/>
      <c r="L54" s="1160"/>
      <c r="M54" s="1636"/>
      <c r="N54" s="1636"/>
      <c r="O54" s="1160"/>
      <c r="P54" s="1160"/>
      <c r="Q54" s="1160"/>
      <c r="R54" s="1160"/>
      <c r="S54" s="1636"/>
      <c r="T54" s="1160"/>
      <c r="U54" s="1160"/>
      <c r="V54" s="544"/>
      <c r="W54" s="1160"/>
      <c r="X54" s="1160"/>
      <c r="Y54" s="1160"/>
      <c r="Z54" s="1160"/>
      <c r="AA54" s="1160"/>
      <c r="AB54" s="1632"/>
      <c r="AC54" s="566"/>
      <c r="AD54" s="566"/>
      <c r="AE54" s="566"/>
      <c r="AF54" s="566"/>
      <c r="AG54" s="1641">
        <v>11</v>
      </c>
    </row>
    <row s="1641" customFormat="1" customHeight="1" ht="11.549999999999999">
      <c r="A55" s="987"/>
      <c r="B55" s="1636"/>
      <c r="C55" s="1636"/>
      <c r="D55" s="351"/>
      <c r="J55" s="1641"/>
      <c r="L55" s="1160"/>
      <c r="M55" s="1636"/>
      <c r="N55" s="1636"/>
      <c r="O55" s="1160"/>
      <c r="P55" s="1160"/>
      <c r="Q55" s="1160"/>
      <c r="R55" s="1160"/>
      <c r="S55" s="1636"/>
      <c r="T55" s="1160"/>
      <c r="U55" s="1160"/>
      <c r="V55" s="544"/>
      <c r="W55" s="1160"/>
      <c r="X55" s="1160"/>
      <c r="Y55" s="1160"/>
      <c r="Z55" s="1160"/>
      <c r="AA55" s="1160"/>
      <c r="AB55" s="1632"/>
      <c r="AC55" s="566"/>
      <c r="AD55" s="566"/>
      <c r="AE55" s="566"/>
      <c r="AF55" s="566"/>
      <c r="AG55" s="1641">
        <v>11</v>
      </c>
    </row>
    <row s="1641" customFormat="1" customHeight="1" ht="11.549999999999999">
      <c r="A56" s="987"/>
      <c r="B56" s="1636"/>
      <c r="C56" s="1636"/>
      <c r="D56" s="351"/>
      <c r="J56" s="1641"/>
      <c r="L56" s="1160"/>
      <c r="M56" s="1636"/>
      <c r="N56" s="1636"/>
      <c r="O56" s="1160"/>
      <c r="P56" s="1160"/>
      <c r="Q56" s="1160"/>
      <c r="R56" s="1160"/>
      <c r="S56" s="1636"/>
      <c r="T56" s="1160"/>
      <c r="U56" s="1160"/>
      <c r="V56" s="544"/>
      <c r="W56" s="1160"/>
      <c r="X56" s="1160"/>
      <c r="Y56" s="1160"/>
      <c r="Z56" s="1160"/>
      <c r="AA56" s="1160"/>
      <c r="AB56" s="1632"/>
      <c r="AC56" s="566"/>
      <c r="AD56" s="566"/>
      <c r="AE56" s="566"/>
      <c r="AF56" s="566"/>
      <c r="AG56" s="1641">
        <v>11</v>
      </c>
    </row>
    <row s="1641" customFormat="1" customHeight="1" ht="11.549999999999999">
      <c r="A57" s="987"/>
      <c r="B57" s="1636"/>
      <c r="C57" s="1636"/>
      <c r="D57" s="351"/>
      <c r="J57" s="1641"/>
      <c r="L57" s="1160"/>
      <c r="M57" s="1636"/>
      <c r="N57" s="1636"/>
      <c r="O57" s="1160"/>
      <c r="P57" s="1160"/>
      <c r="Q57" s="1160"/>
      <c r="R57" s="1160"/>
      <c r="S57" s="1636"/>
      <c r="T57" s="1160"/>
      <c r="U57" s="1160"/>
      <c r="V57" s="544"/>
      <c r="W57" s="1160"/>
      <c r="X57" s="1160"/>
      <c r="Y57" s="1160"/>
      <c r="Z57" s="1160"/>
      <c r="AA57" s="1160"/>
      <c r="AB57" s="1632"/>
      <c r="AC57" s="566"/>
      <c r="AD57" s="566"/>
      <c r="AE57" s="566"/>
      <c r="AF57" s="566"/>
      <c r="AG57" s="1641">
        <v>11</v>
      </c>
    </row>
    <row s="1641" customFormat="1" customHeight="1" ht="11.549999999999999">
      <c r="A58" s="987"/>
      <c r="B58" s="1636"/>
      <c r="C58" s="1636"/>
      <c r="D58" s="351"/>
      <c r="J58" s="1641"/>
      <c r="L58" s="1160"/>
      <c r="M58" s="1636"/>
      <c r="N58" s="1636"/>
      <c r="O58" s="1160"/>
      <c r="P58" s="1160"/>
      <c r="Q58" s="1160"/>
      <c r="R58" s="1160"/>
      <c r="S58" s="1636"/>
      <c r="T58" s="1160"/>
      <c r="U58" s="1160"/>
      <c r="V58" s="544"/>
      <c r="W58" s="1160"/>
      <c r="X58" s="1160"/>
      <c r="Y58" s="1160"/>
      <c r="Z58" s="1160"/>
      <c r="AA58" s="1160"/>
      <c r="AB58" s="1632"/>
      <c r="AC58" s="566"/>
      <c r="AD58" s="566"/>
      <c r="AE58" s="566"/>
      <c r="AF58" s="566"/>
      <c r="AG58" s="1641">
        <v>11</v>
      </c>
    </row>
    <row s="1641" customFormat="1" customHeight="1" ht="11.549999999999999">
      <c r="A59" s="987"/>
      <c r="B59" s="1636"/>
      <c r="C59" s="1636"/>
      <c r="D59" s="351"/>
      <c r="J59" s="1641"/>
      <c r="L59" s="1160"/>
      <c r="M59" s="1636"/>
      <c r="N59" s="1636"/>
      <c r="O59" s="1160"/>
      <c r="P59" s="1160"/>
      <c r="Q59" s="1160"/>
      <c r="R59" s="1160"/>
      <c r="S59" s="1636"/>
      <c r="T59" s="1160"/>
      <c r="U59" s="1160"/>
      <c r="V59" s="544"/>
      <c r="W59" s="1160"/>
      <c r="X59" s="1160"/>
      <c r="Y59" s="1160"/>
      <c r="Z59" s="1160"/>
      <c r="AA59" s="1160"/>
      <c r="AB59" s="1632"/>
      <c r="AC59" s="566"/>
      <c r="AD59" s="566"/>
      <c r="AE59" s="566"/>
      <c r="AF59" s="566"/>
      <c r="AG59" s="1641">
        <v>11</v>
      </c>
    </row>
    <row s="1641" customFormat="1" customHeight="1" ht="11.549999999999999">
      <c r="A60" s="987"/>
      <c r="B60" s="1636"/>
      <c r="C60" s="1636"/>
      <c r="D60" s="351"/>
      <c r="J60" s="1641"/>
      <c r="L60" s="1160"/>
      <c r="M60" s="1636"/>
      <c r="N60" s="1636"/>
      <c r="O60" s="1160"/>
      <c r="P60" s="1160"/>
      <c r="Q60" s="1160"/>
      <c r="R60" s="1160"/>
      <c r="S60" s="1636"/>
      <c r="T60" s="1160"/>
      <c r="U60" s="1160"/>
      <c r="V60" s="544"/>
      <c r="W60" s="1160"/>
      <c r="X60" s="1160"/>
      <c r="Y60" s="1160"/>
      <c r="Z60" s="1160"/>
      <c r="AA60" s="1160"/>
      <c r="AB60" s="1632"/>
      <c r="AC60" s="566"/>
      <c r="AD60" s="566"/>
      <c r="AE60" s="566"/>
      <c r="AF60" s="566"/>
      <c r="AG60" s="1641">
        <v>11</v>
      </c>
    </row>
    <row s="1641" customFormat="1" customHeight="1" ht="11.549999999999999">
      <c r="A61" s="987"/>
      <c r="B61" s="1636"/>
      <c r="C61" s="1636"/>
      <c r="D61" s="351"/>
      <c r="J61" s="1641"/>
      <c r="L61" s="1160"/>
      <c r="M61" s="1636"/>
      <c r="N61" s="1636"/>
      <c r="O61" s="1160"/>
      <c r="P61" s="1160"/>
      <c r="Q61" s="1160"/>
      <c r="R61" s="1160"/>
      <c r="S61" s="1636"/>
      <c r="T61" s="1160"/>
      <c r="U61" s="1160"/>
      <c r="V61" s="544"/>
      <c r="W61" s="1160"/>
      <c r="X61" s="1160"/>
      <c r="Y61" s="1160"/>
      <c r="Z61" s="1160"/>
      <c r="AA61" s="1160"/>
      <c r="AB61" s="1632"/>
      <c r="AC61" s="566"/>
      <c r="AD61" s="566"/>
      <c r="AE61" s="566"/>
      <c r="AF61" s="566"/>
      <c r="AG61" s="1641">
        <v>11</v>
      </c>
    </row>
    <row s="1641" customFormat="1" customHeight="1" ht="11.549999999999999">
      <c r="A62" s="987"/>
      <c r="B62" s="1636"/>
      <c r="C62" s="1636"/>
      <c r="D62" s="351"/>
      <c r="J62" s="1641"/>
      <c r="L62" s="1160"/>
      <c r="M62" s="1636"/>
      <c r="N62" s="1636"/>
      <c r="O62" s="1160"/>
      <c r="P62" s="1160"/>
      <c r="Q62" s="1160"/>
      <c r="R62" s="1160"/>
      <c r="S62" s="1636"/>
      <c r="T62" s="1160"/>
      <c r="U62" s="1160"/>
      <c r="V62" s="544"/>
      <c r="W62" s="1160"/>
      <c r="X62" s="1160"/>
      <c r="Y62" s="1160"/>
      <c r="Z62" s="1160"/>
      <c r="AA62" s="1160"/>
      <c r="AB62" s="1632"/>
      <c r="AC62" s="566"/>
      <c r="AD62" s="566"/>
      <c r="AE62" s="566"/>
      <c r="AF62" s="566"/>
      <c r="AG62" s="1641">
        <v>11</v>
      </c>
    </row>
    <row s="1641" customFormat="1" customHeight="1" ht="11.549999999999999">
      <c r="A63" s="987"/>
      <c r="B63" s="1636"/>
      <c r="C63" s="1636"/>
      <c r="D63" s="351"/>
      <c r="J63" s="1641"/>
      <c r="L63" s="1160"/>
      <c r="M63" s="1636"/>
      <c r="N63" s="1636"/>
      <c r="O63" s="1160"/>
      <c r="P63" s="1160"/>
      <c r="Q63" s="1160"/>
      <c r="R63" s="1160"/>
      <c r="S63" s="1636"/>
      <c r="T63" s="1160"/>
      <c r="U63" s="1160"/>
      <c r="V63" s="544"/>
      <c r="W63" s="1160"/>
      <c r="X63" s="1160"/>
      <c r="Y63" s="1160"/>
      <c r="Z63" s="1160"/>
      <c r="AA63" s="1160"/>
      <c r="AB63" s="1632"/>
      <c r="AC63" s="566"/>
      <c r="AD63" s="566"/>
      <c r="AE63" s="566"/>
      <c r="AF63" s="566"/>
      <c r="AG63" s="1641">
        <v>11</v>
      </c>
    </row>
    <row s="1641" customFormat="1" customHeight="1" ht="11.549999999999999">
      <c r="A64" s="987"/>
      <c r="B64" s="1636"/>
      <c r="C64" s="1636"/>
      <c r="D64" s="351"/>
      <c r="J64" s="1641"/>
      <c r="L64" s="1160"/>
      <c r="M64" s="1636"/>
      <c r="N64" s="1636"/>
      <c r="O64" s="1160"/>
      <c r="P64" s="1160"/>
      <c r="Q64" s="1160"/>
      <c r="R64" s="1160"/>
      <c r="S64" s="1636"/>
      <c r="T64" s="1160"/>
      <c r="U64" s="1160"/>
      <c r="V64" s="544"/>
      <c r="W64" s="1160"/>
      <c r="X64" s="1160"/>
      <c r="Y64" s="1160"/>
      <c r="Z64" s="1160"/>
      <c r="AA64" s="1160"/>
      <c r="AB64" s="1632"/>
      <c r="AC64" s="566"/>
      <c r="AD64" s="566"/>
      <c r="AE64" s="566"/>
      <c r="AF64" s="566"/>
      <c r="AG64" s="1641">
        <v>11</v>
      </c>
    </row>
    <row s="1641" customFormat="1" customHeight="1" ht="11.549999999999999">
      <c r="A65" s="987"/>
      <c r="B65" s="1636"/>
      <c r="C65" s="1636"/>
      <c r="D65" s="351"/>
      <c r="J65" s="1641"/>
      <c r="L65" s="1160"/>
      <c r="M65" s="1636"/>
      <c r="N65" s="1636"/>
      <c r="O65" s="1160"/>
      <c r="P65" s="1160"/>
      <c r="Q65" s="1160"/>
      <c r="R65" s="1160"/>
      <c r="S65" s="1636"/>
      <c r="T65" s="1160"/>
      <c r="U65" s="1160"/>
      <c r="V65" s="544"/>
      <c r="W65" s="1160"/>
      <c r="X65" s="1160"/>
      <c r="Y65" s="1160"/>
      <c r="Z65" s="1160"/>
      <c r="AA65" s="1160"/>
      <c r="AB65" s="1632"/>
      <c r="AC65" s="566"/>
      <c r="AD65" s="566"/>
      <c r="AE65" s="566"/>
      <c r="AF65" s="566"/>
      <c r="AG65" s="1641">
        <v>11</v>
      </c>
    </row>
    <row s="1641" customFormat="1" customHeight="1" ht="11.549999999999999">
      <c r="A66" s="987"/>
      <c r="B66" s="1636"/>
      <c r="C66" s="1636"/>
      <c r="D66" s="351"/>
      <c r="J66" s="1641"/>
      <c r="L66" s="1160"/>
      <c r="M66" s="1636"/>
      <c r="N66" s="1636"/>
      <c r="O66" s="1160"/>
      <c r="P66" s="1160"/>
      <c r="Q66" s="1160"/>
      <c r="R66" s="1160"/>
      <c r="S66" s="1636"/>
      <c r="T66" s="1160"/>
      <c r="U66" s="1160"/>
      <c r="V66" s="544"/>
      <c r="W66" s="1160"/>
      <c r="X66" s="1160"/>
      <c r="Y66" s="1160"/>
      <c r="Z66" s="1160"/>
      <c r="AA66" s="1160"/>
      <c r="AB66" s="1632"/>
      <c r="AC66" s="566"/>
      <c r="AD66" s="566"/>
      <c r="AE66" s="566"/>
      <c r="AF66" s="566"/>
      <c r="AG66" s="1641">
        <v>11</v>
      </c>
    </row>
    <row s="1641" customFormat="1" customHeight="1" ht="11.549999999999999">
      <c r="A67" s="987"/>
      <c r="B67" s="1636"/>
      <c r="C67" s="1636"/>
      <c r="D67" s="351"/>
      <c r="J67" s="1641"/>
      <c r="L67" s="1160"/>
      <c r="M67" s="1636"/>
      <c r="N67" s="1636"/>
      <c r="O67" s="1160"/>
      <c r="P67" s="1160"/>
      <c r="Q67" s="1160"/>
      <c r="R67" s="1160"/>
      <c r="S67" s="1636"/>
      <c r="T67" s="1160"/>
      <c r="U67" s="1160"/>
      <c r="V67" s="544"/>
      <c r="W67" s="1160"/>
      <c r="X67" s="1160"/>
      <c r="Y67" s="1160"/>
      <c r="Z67" s="1160"/>
      <c r="AA67" s="1160"/>
      <c r="AB67" s="1632"/>
      <c r="AC67" s="566"/>
      <c r="AD67" s="566"/>
      <c r="AE67" s="566"/>
      <c r="AF67" s="566"/>
      <c r="AG67" s="1641">
        <v>11</v>
      </c>
    </row>
    <row s="1641" customFormat="1" customHeight="1" ht="11.549999999999999">
      <c r="A68" s="987"/>
      <c r="B68" s="1636"/>
      <c r="C68" s="1636"/>
      <c r="D68" s="351"/>
      <c r="J68" s="1641"/>
      <c r="L68" s="1160"/>
      <c r="M68" s="1636"/>
      <c r="N68" s="1636"/>
      <c r="O68" s="1160"/>
      <c r="P68" s="1160"/>
      <c r="Q68" s="1160"/>
      <c r="R68" s="1160"/>
      <c r="S68" s="1636"/>
      <c r="T68" s="1160"/>
      <c r="U68" s="1160"/>
      <c r="V68" s="544"/>
      <c r="W68" s="1160"/>
      <c r="X68" s="1160"/>
      <c r="Y68" s="1160"/>
      <c r="Z68" s="1160"/>
      <c r="AA68" s="1160"/>
      <c r="AB68" s="1632"/>
      <c r="AC68" s="566"/>
      <c r="AD68" s="566"/>
      <c r="AE68" s="566"/>
      <c r="AF68" s="566"/>
      <c r="AG68" s="1641">
        <v>11</v>
      </c>
    </row>
    <row s="1641" customFormat="1" customHeight="1" ht="11.549999999999999">
      <c r="A69" s="987"/>
      <c r="B69" s="1636"/>
      <c r="C69" s="1636"/>
      <c r="D69" s="351"/>
      <c r="J69" s="1641"/>
      <c r="L69" s="1160"/>
      <c r="M69" s="1636"/>
      <c r="N69" s="1636"/>
      <c r="O69" s="1160"/>
      <c r="P69" s="1160"/>
      <c r="Q69" s="1160"/>
      <c r="R69" s="1160"/>
      <c r="S69" s="1636"/>
      <c r="T69" s="1160"/>
      <c r="U69" s="1160"/>
      <c r="V69" s="544"/>
      <c r="W69" s="1160"/>
      <c r="X69" s="1160"/>
      <c r="Y69" s="1160"/>
      <c r="Z69" s="1160"/>
      <c r="AA69" s="1160"/>
      <c r="AB69" s="1632"/>
      <c r="AC69" s="566"/>
      <c r="AD69" s="566"/>
      <c r="AE69" s="566"/>
      <c r="AF69" s="566"/>
      <c r="AG69" s="1641">
        <v>11</v>
      </c>
    </row>
    <row s="1641" customFormat="1" customHeight="1" ht="11.549999999999999">
      <c r="A70" s="987"/>
      <c r="B70" s="1636"/>
      <c r="C70" s="1636"/>
      <c r="D70" s="351"/>
      <c r="J70" s="1641"/>
      <c r="L70" s="1160"/>
      <c r="M70" s="1636"/>
      <c r="N70" s="1636"/>
      <c r="O70" s="1160"/>
      <c r="P70" s="1160"/>
      <c r="Q70" s="1160"/>
      <c r="R70" s="1160"/>
      <c r="S70" s="1636"/>
      <c r="T70" s="1160"/>
      <c r="U70" s="1160"/>
      <c r="V70" s="544"/>
      <c r="W70" s="1160"/>
      <c r="X70" s="1160"/>
      <c r="Y70" s="1160"/>
      <c r="Z70" s="1160"/>
      <c r="AA70" s="1160"/>
      <c r="AB70" s="1632"/>
      <c r="AC70" s="566"/>
      <c r="AD70" s="566"/>
      <c r="AE70" s="566"/>
      <c r="AF70" s="566"/>
      <c r="AG70" s="1641">
        <v>11</v>
      </c>
    </row>
    <row s="1641" customFormat="1" customHeight="1" ht="11.549999999999999">
      <c r="A71" s="987"/>
      <c r="B71" s="1636"/>
      <c r="C71" s="1636"/>
      <c r="D71" s="351"/>
      <c r="J71" s="1641"/>
      <c r="L71" s="1160"/>
      <c r="M71" s="1636"/>
      <c r="N71" s="1636"/>
      <c r="O71" s="1160"/>
      <c r="P71" s="1160"/>
      <c r="Q71" s="1160"/>
      <c r="R71" s="1160"/>
      <c r="S71" s="1636"/>
      <c r="T71" s="1160"/>
      <c r="U71" s="1160"/>
      <c r="V71" s="544"/>
      <c r="W71" s="1160"/>
      <c r="X71" s="1160"/>
      <c r="Y71" s="1160"/>
      <c r="Z71" s="1160"/>
      <c r="AA71" s="1160"/>
      <c r="AB71" s="1632"/>
      <c r="AC71" s="566"/>
      <c r="AD71" s="566"/>
      <c r="AE71" s="566"/>
      <c r="AF71" s="566"/>
      <c r="AG71" s="1641">
        <v>11</v>
      </c>
    </row>
    <row s="1641" customFormat="1" customHeight="1" ht="11.549999999999999">
      <c r="A72" s="987"/>
      <c r="B72" s="1636"/>
      <c r="C72" s="1636"/>
      <c r="D72" s="351"/>
      <c r="J72" s="1641"/>
      <c r="L72" s="1160"/>
      <c r="M72" s="1636"/>
      <c r="N72" s="1636"/>
      <c r="O72" s="1160"/>
      <c r="P72" s="1160"/>
      <c r="Q72" s="1160"/>
      <c r="R72" s="1160"/>
      <c r="S72" s="1636"/>
      <c r="T72" s="1160"/>
      <c r="U72" s="1160"/>
      <c r="V72" s="544"/>
      <c r="W72" s="1160"/>
      <c r="X72" s="1160"/>
      <c r="Y72" s="1160"/>
      <c r="Z72" s="1160"/>
      <c r="AA72" s="1160"/>
      <c r="AB72" s="1632"/>
      <c r="AC72" s="566"/>
      <c r="AD72" s="566"/>
      <c r="AE72" s="566"/>
      <c r="AF72" s="566"/>
      <c r="AG72" s="1641">
        <v>11</v>
      </c>
    </row>
    <row s="1641" customFormat="1" customHeight="1" ht="11.549999999999999">
      <c r="A73" s="987"/>
      <c r="B73" s="1636"/>
      <c r="C73" s="1636"/>
      <c r="D73" s="351"/>
      <c r="J73" s="1641"/>
      <c r="L73" s="1160"/>
      <c r="M73" s="1636"/>
      <c r="N73" s="1636"/>
      <c r="O73" s="1160"/>
      <c r="P73" s="1160"/>
      <c r="Q73" s="1160"/>
      <c r="R73" s="1160"/>
      <c r="S73" s="1636"/>
      <c r="T73" s="1160"/>
      <c r="U73" s="1160"/>
      <c r="V73" s="544"/>
      <c r="W73" s="1160"/>
      <c r="X73" s="1160"/>
      <c r="Y73" s="1160"/>
      <c r="Z73" s="1160"/>
      <c r="AA73" s="1160"/>
      <c r="AB73" s="1632"/>
      <c r="AC73" s="566"/>
      <c r="AD73" s="566"/>
      <c r="AE73" s="566"/>
      <c r="AF73" s="566"/>
      <c r="AG73" s="1641">
        <v>11</v>
      </c>
    </row>
    <row s="1641" customFormat="1" customHeight="1" ht="11.549999999999999">
      <c r="A74" s="987"/>
      <c r="B74" s="1636"/>
      <c r="C74" s="1636"/>
      <c r="D74" s="351"/>
      <c r="J74" s="1641"/>
      <c r="L74" s="1160"/>
      <c r="M74" s="1636"/>
      <c r="N74" s="1636"/>
      <c r="O74" s="1160"/>
      <c r="P74" s="1160"/>
      <c r="Q74" s="1160"/>
      <c r="R74" s="1160"/>
      <c r="S74" s="1636"/>
      <c r="T74" s="1160"/>
      <c r="U74" s="1160"/>
      <c r="V74" s="544"/>
      <c r="W74" s="1160"/>
      <c r="X74" s="1160"/>
      <c r="Y74" s="1160"/>
      <c r="Z74" s="1160"/>
      <c r="AA74" s="1160"/>
      <c r="AB74" s="1632"/>
      <c r="AC74" s="566"/>
      <c r="AD74" s="566"/>
      <c r="AE74" s="566"/>
      <c r="AF74" s="566"/>
      <c r="AG74" s="1641">
        <v>11</v>
      </c>
    </row>
    <row s="1641" customFormat="1" customHeight="1" ht="11.549999999999999">
      <c r="A75" s="987"/>
      <c r="B75" s="1636"/>
      <c r="C75" s="1636"/>
      <c r="D75" s="351"/>
      <c r="J75" s="1641"/>
      <c r="L75" s="1160"/>
      <c r="M75" s="1636"/>
      <c r="N75" s="1636"/>
      <c r="O75" s="1160"/>
      <c r="P75" s="1160"/>
      <c r="Q75" s="1160"/>
      <c r="R75" s="1160"/>
      <c r="S75" s="1636"/>
      <c r="T75" s="1160"/>
      <c r="U75" s="1160"/>
      <c r="V75" s="544"/>
      <c r="W75" s="1160"/>
      <c r="X75" s="1160"/>
      <c r="Y75" s="1160"/>
      <c r="Z75" s="1160"/>
      <c r="AA75" s="1160"/>
      <c r="AB75" s="1632"/>
      <c r="AC75" s="566"/>
      <c r="AD75" s="566"/>
      <c r="AE75" s="566"/>
      <c r="AF75" s="566"/>
      <c r="AG75" s="1641">
        <v>11</v>
      </c>
    </row>
    <row s="1641" customFormat="1" customHeight="1" ht="11.549999999999999">
      <c r="A76" s="987"/>
      <c r="B76" s="1636"/>
      <c r="C76" s="1636"/>
      <c r="D76" s="351"/>
      <c r="J76" s="1641"/>
      <c r="L76" s="1160"/>
      <c r="M76" s="1636"/>
      <c r="N76" s="1636"/>
      <c r="O76" s="1160"/>
      <c r="P76" s="1160"/>
      <c r="Q76" s="1160"/>
      <c r="R76" s="1160"/>
      <c r="S76" s="1636"/>
      <c r="T76" s="1160"/>
      <c r="U76" s="1160"/>
      <c r="V76" s="544"/>
      <c r="W76" s="1160"/>
      <c r="X76" s="1160"/>
      <c r="Y76" s="1160"/>
      <c r="Z76" s="1160"/>
      <c r="AA76" s="1160"/>
      <c r="AB76" s="1632"/>
      <c r="AC76" s="566"/>
      <c r="AD76" s="566"/>
      <c r="AE76" s="566"/>
      <c r="AF76" s="566"/>
      <c r="AG76" s="1641">
        <v>11</v>
      </c>
    </row>
    <row s="1641" customFormat="1" customHeight="1" ht="11.549999999999999">
      <c r="A77" s="987"/>
      <c r="B77" s="1636"/>
      <c r="C77" s="1636"/>
      <c r="D77" s="351"/>
      <c r="J77" s="1641"/>
      <c r="L77" s="1160"/>
      <c r="M77" s="1636"/>
      <c r="N77" s="1636"/>
      <c r="O77" s="1160"/>
      <c r="P77" s="1160"/>
      <c r="Q77" s="1160"/>
      <c r="R77" s="1160"/>
      <c r="S77" s="1636"/>
      <c r="T77" s="1160"/>
      <c r="U77" s="1160"/>
      <c r="V77" s="544"/>
      <c r="W77" s="1160"/>
      <c r="X77" s="1160"/>
      <c r="Y77" s="1160"/>
      <c r="Z77" s="1160"/>
      <c r="AA77" s="1160"/>
      <c r="AB77" s="1632"/>
      <c r="AC77" s="566"/>
      <c r="AD77" s="566"/>
      <c r="AE77" s="566"/>
      <c r="AF77" s="566"/>
      <c r="AG77" s="1641">
        <v>11</v>
      </c>
    </row>
    <row s="1641" customFormat="1" customHeight="1" ht="11.549999999999999">
      <c r="A78" s="987"/>
      <c r="B78" s="1636"/>
      <c r="C78" s="1636"/>
      <c r="D78" s="351"/>
      <c r="J78" s="1641"/>
      <c r="L78" s="1160"/>
      <c r="M78" s="1636"/>
      <c r="N78" s="1636"/>
      <c r="O78" s="1160"/>
      <c r="P78" s="1160"/>
      <c r="Q78" s="1160"/>
      <c r="R78" s="1160"/>
      <c r="S78" s="1636"/>
      <c r="T78" s="1160"/>
      <c r="U78" s="1160"/>
      <c r="V78" s="544"/>
      <c r="W78" s="1160"/>
      <c r="X78" s="1160"/>
      <c r="Y78" s="1160"/>
      <c r="Z78" s="1160"/>
      <c r="AA78" s="1160"/>
      <c r="AB78" s="1632"/>
      <c r="AC78" s="566"/>
      <c r="AD78" s="566"/>
      <c r="AE78" s="566"/>
      <c r="AF78" s="566"/>
      <c r="AG78" s="1641">
        <v>11</v>
      </c>
    </row>
    <row s="1641" customFormat="1" customHeight="1" ht="11.549999999999999">
      <c r="A79" s="987"/>
      <c r="B79" s="1636"/>
      <c r="C79" s="1636"/>
      <c r="D79" s="351"/>
      <c r="J79" s="1641"/>
      <c r="L79" s="1160"/>
      <c r="M79" s="1636"/>
      <c r="N79" s="1636"/>
      <c r="O79" s="1160"/>
      <c r="P79" s="1160"/>
      <c r="Q79" s="1160"/>
      <c r="R79" s="1160"/>
      <c r="S79" s="1636"/>
      <c r="T79" s="1160"/>
      <c r="U79" s="1160"/>
      <c r="V79" s="544"/>
      <c r="W79" s="1160"/>
      <c r="X79" s="1160"/>
      <c r="Y79" s="1160"/>
      <c r="Z79" s="1160"/>
      <c r="AA79" s="1160"/>
      <c r="AB79" s="1632"/>
      <c r="AC79" s="566"/>
      <c r="AD79" s="566"/>
      <c r="AE79" s="566"/>
      <c r="AF79" s="566"/>
      <c r="AG79" s="1641">
        <v>11</v>
      </c>
    </row>
    <row s="1641" customFormat="1" customHeight="1" ht="11.549999999999999">
      <c r="A80" s="987"/>
      <c r="B80" s="1636"/>
      <c r="C80" s="1636"/>
      <c r="D80" s="351"/>
      <c r="J80" s="1641"/>
      <c r="L80" s="1160"/>
      <c r="M80" s="1636"/>
      <c r="N80" s="1636"/>
      <c r="O80" s="1160"/>
      <c r="P80" s="1160"/>
      <c r="Q80" s="1160"/>
      <c r="R80" s="1160"/>
      <c r="S80" s="1636"/>
      <c r="T80" s="1160"/>
      <c r="U80" s="1160"/>
      <c r="V80" s="544"/>
      <c r="W80" s="1160"/>
      <c r="X80" s="1160"/>
      <c r="Y80" s="1160"/>
      <c r="Z80" s="1160"/>
      <c r="AA80" s="1160"/>
      <c r="AB80" s="1632"/>
      <c r="AC80" s="566"/>
      <c r="AD80" s="566"/>
      <c r="AE80" s="566"/>
      <c r="AF80" s="566"/>
      <c r="AG80" s="1641">
        <v>11</v>
      </c>
    </row>
    <row s="1641" customFormat="1" customHeight="1" ht="11.549999999999999">
      <c r="A81" s="987"/>
      <c r="B81" s="1636"/>
      <c r="C81" s="1636"/>
      <c r="D81" s="351"/>
      <c r="J81" s="1641"/>
      <c r="L81" s="1160"/>
      <c r="M81" s="1636"/>
      <c r="N81" s="1636"/>
      <c r="O81" s="1160"/>
      <c r="P81" s="1160"/>
      <c r="Q81" s="1160"/>
      <c r="R81" s="1160"/>
      <c r="S81" s="1636"/>
      <c r="T81" s="1160"/>
      <c r="U81" s="1160"/>
      <c r="V81" s="544"/>
      <c r="W81" s="1160"/>
      <c r="X81" s="1160"/>
      <c r="Y81" s="1160"/>
      <c r="Z81" s="1160"/>
      <c r="AA81" s="1160"/>
      <c r="AB81" s="1632"/>
      <c r="AC81" s="566"/>
      <c r="AD81" s="566"/>
      <c r="AE81" s="566"/>
      <c r="AF81" s="566"/>
      <c r="AG81" s="1641">
        <v>11</v>
      </c>
    </row>
    <row s="1641" customFormat="1" customHeight="1" ht="11.549999999999999">
      <c r="A82" s="987"/>
      <c r="B82" s="1636"/>
      <c r="C82" s="1636"/>
      <c r="D82" s="351"/>
      <c r="J82" s="1641"/>
      <c r="L82" s="1160"/>
      <c r="M82" s="1636"/>
      <c r="N82" s="1636"/>
      <c r="O82" s="1160"/>
      <c r="P82" s="1160"/>
      <c r="Q82" s="1160"/>
      <c r="R82" s="1160"/>
      <c r="S82" s="1636"/>
      <c r="T82" s="1160"/>
      <c r="U82" s="1160"/>
      <c r="V82" s="544"/>
      <c r="W82" s="1160"/>
      <c r="X82" s="1160"/>
      <c r="Y82" s="1160"/>
      <c r="Z82" s="1160"/>
      <c r="AA82" s="1160"/>
      <c r="AB82" s="1632"/>
      <c r="AC82" s="566"/>
      <c r="AD82" s="566"/>
      <c r="AE82" s="566"/>
      <c r="AF82" s="566"/>
      <c r="AG82" s="1641">
        <v>11</v>
      </c>
    </row>
    <row s="1641" customFormat="1" customHeight="1" ht="11.549999999999999">
      <c r="A83" s="987"/>
      <c r="B83" s="1636"/>
      <c r="C83" s="1636"/>
      <c r="D83" s="351"/>
      <c r="J83" s="1641"/>
      <c r="L83" s="1160"/>
      <c r="M83" s="1636"/>
      <c r="N83" s="1636"/>
      <c r="O83" s="1160"/>
      <c r="P83" s="1160"/>
      <c r="Q83" s="1160"/>
      <c r="R83" s="1160"/>
      <c r="S83" s="1636"/>
      <c r="T83" s="1160"/>
      <c r="U83" s="1160"/>
      <c r="V83" s="544"/>
      <c r="W83" s="1160"/>
      <c r="X83" s="1160"/>
      <c r="Y83" s="1160"/>
      <c r="Z83" s="1160"/>
      <c r="AA83" s="1160"/>
      <c r="AB83" s="1632"/>
      <c r="AC83" s="566"/>
      <c r="AD83" s="566"/>
      <c r="AE83" s="566"/>
      <c r="AF83" s="566"/>
      <c r="AG83" s="1641">
        <v>11</v>
      </c>
    </row>
    <row s="1641" customFormat="1" customHeight="1" ht="11.549999999999999">
      <c r="A84" s="987"/>
      <c r="B84" s="1636"/>
      <c r="C84" s="1636"/>
      <c r="D84" s="351"/>
      <c r="J84" s="1641"/>
      <c r="L84" s="1160"/>
      <c r="M84" s="1636"/>
      <c r="N84" s="1636"/>
      <c r="O84" s="1160"/>
      <c r="P84" s="1160"/>
      <c r="Q84" s="1160"/>
      <c r="R84" s="1160"/>
      <c r="S84" s="1636"/>
      <c r="T84" s="1160"/>
      <c r="U84" s="1160"/>
      <c r="V84" s="544"/>
      <c r="W84" s="1160"/>
      <c r="X84" s="1160"/>
      <c r="Y84" s="1160"/>
      <c r="Z84" s="1160"/>
      <c r="AA84" s="1160"/>
      <c r="AB84" s="1632"/>
      <c r="AC84" s="566"/>
      <c r="AD84" s="566"/>
      <c r="AE84" s="566"/>
      <c r="AF84" s="566"/>
      <c r="AG84" s="1641">
        <v>11</v>
      </c>
    </row>
    <row s="1641" customFormat="1" customHeight="1" ht="11.549999999999999">
      <c r="A85" s="987"/>
      <c r="B85" s="1636"/>
      <c r="C85" s="1636"/>
      <c r="D85" s="351"/>
      <c r="J85" s="1641"/>
      <c r="L85" s="1160"/>
      <c r="M85" s="1636"/>
      <c r="N85" s="1636"/>
      <c r="O85" s="1160"/>
      <c r="P85" s="1160"/>
      <c r="Q85" s="1160"/>
      <c r="R85" s="1160"/>
      <c r="S85" s="1636"/>
      <c r="T85" s="1160"/>
      <c r="U85" s="1160"/>
      <c r="V85" s="544"/>
      <c r="W85" s="1160"/>
      <c r="X85" s="1160"/>
      <c r="Y85" s="1160"/>
      <c r="Z85" s="1160"/>
      <c r="AA85" s="1160"/>
      <c r="AB85" s="1632"/>
      <c r="AC85" s="566"/>
      <c r="AD85" s="566"/>
      <c r="AE85" s="566"/>
      <c r="AF85" s="566"/>
      <c r="AG85" s="1641">
        <v>11</v>
      </c>
    </row>
    <row s="1641" customFormat="1" customHeight="1" ht="11.549999999999999">
      <c r="A86" s="987"/>
      <c r="B86" s="1636"/>
      <c r="C86" s="1636"/>
      <c r="D86" s="351"/>
      <c r="J86" s="1641"/>
      <c r="L86" s="1160"/>
      <c r="M86" s="1636"/>
      <c r="N86" s="1636"/>
      <c r="O86" s="1160"/>
      <c r="P86" s="1160"/>
      <c r="Q86" s="1160"/>
      <c r="R86" s="1160"/>
      <c r="S86" s="1636"/>
      <c r="T86" s="1160"/>
      <c r="U86" s="1160"/>
      <c r="V86" s="544"/>
      <c r="W86" s="1160"/>
      <c r="X86" s="1160"/>
      <c r="Y86" s="1160"/>
      <c r="Z86" s="1160"/>
      <c r="AA86" s="1160"/>
      <c r="AB86" s="1632"/>
      <c r="AC86" s="566"/>
      <c r="AD86" s="566"/>
      <c r="AE86" s="566"/>
      <c r="AF86" s="566"/>
      <c r="AG86" s="1641">
        <v>11</v>
      </c>
    </row>
    <row s="1641" customFormat="1" customHeight="1" ht="11.549999999999999">
      <c r="A87" s="987"/>
      <c r="B87" s="1636"/>
      <c r="C87" s="1636"/>
      <c r="D87" s="351"/>
      <c r="J87" s="1641"/>
      <c r="L87" s="1160"/>
      <c r="M87" s="1636"/>
      <c r="N87" s="1636"/>
      <c r="O87" s="1160"/>
      <c r="P87" s="1160"/>
      <c r="Q87" s="1160"/>
      <c r="R87" s="1160"/>
      <c r="S87" s="1636"/>
      <c r="T87" s="1160"/>
      <c r="U87" s="1160"/>
      <c r="V87" s="544"/>
      <c r="W87" s="1160"/>
      <c r="X87" s="1160"/>
      <c r="Y87" s="1160"/>
      <c r="Z87" s="1160"/>
      <c r="AA87" s="1160"/>
      <c r="AB87" s="1632"/>
      <c r="AC87" s="566"/>
      <c r="AD87" s="566"/>
      <c r="AE87" s="566"/>
      <c r="AF87" s="566"/>
      <c r="AG87" s="1641">
        <v>11</v>
      </c>
    </row>
    <row s="1641" customFormat="1" customHeight="1" ht="11.549999999999999">
      <c r="A88" s="987"/>
      <c r="B88" s="1636"/>
      <c r="C88" s="1636"/>
      <c r="D88" s="351"/>
      <c r="J88" s="1641"/>
      <c r="L88" s="1160"/>
      <c r="M88" s="1636"/>
      <c r="N88" s="1636"/>
      <c r="O88" s="1160"/>
      <c r="P88" s="1160"/>
      <c r="Q88" s="1160"/>
      <c r="R88" s="1160"/>
      <c r="S88" s="1636"/>
      <c r="T88" s="1160"/>
      <c r="U88" s="1160"/>
      <c r="V88" s="544"/>
      <c r="W88" s="1160"/>
      <c r="X88" s="1160"/>
      <c r="Y88" s="1160"/>
      <c r="Z88" s="1160"/>
      <c r="AA88" s="1160"/>
      <c r="AB88" s="1632"/>
      <c r="AC88" s="566"/>
      <c r="AD88" s="566"/>
      <c r="AE88" s="566"/>
      <c r="AF88" s="566"/>
      <c r="AG88" s="1641">
        <v>11</v>
      </c>
    </row>
    <row s="1641" customFormat="1" customHeight="1" ht="11.549999999999999">
      <c r="A89" s="987"/>
      <c r="B89" s="1636"/>
      <c r="C89" s="1636"/>
      <c r="D89" s="351"/>
      <c r="J89" s="1641"/>
      <c r="L89" s="1160"/>
      <c r="M89" s="1636"/>
      <c r="N89" s="1636"/>
      <c r="O89" s="1160"/>
      <c r="P89" s="1160"/>
      <c r="Q89" s="1160"/>
      <c r="R89" s="1160"/>
      <c r="S89" s="1636"/>
      <c r="T89" s="1160"/>
      <c r="U89" s="1160"/>
      <c r="V89" s="544"/>
      <c r="W89" s="1160"/>
      <c r="X89" s="1160"/>
      <c r="Y89" s="1160"/>
      <c r="Z89" s="1160"/>
      <c r="AA89" s="1160"/>
      <c r="AB89" s="1632"/>
      <c r="AC89" s="566"/>
      <c r="AD89" s="566"/>
      <c r="AE89" s="566"/>
      <c r="AF89" s="566"/>
      <c r="AG89" s="1641">
        <v>11</v>
      </c>
    </row>
    <row s="1641" customFormat="1" customHeight="1" ht="11.549999999999999">
      <c r="A90" s="987"/>
      <c r="B90" s="1636"/>
      <c r="C90" s="1636"/>
      <c r="D90" s="351"/>
      <c r="J90" s="1641"/>
      <c r="L90" s="1160"/>
      <c r="M90" s="1636"/>
      <c r="N90" s="1636"/>
      <c r="O90" s="1160"/>
      <c r="P90" s="1160"/>
      <c r="Q90" s="1160"/>
      <c r="R90" s="1160"/>
      <c r="S90" s="1636"/>
      <c r="T90" s="1160"/>
      <c r="U90" s="1160"/>
      <c r="V90" s="544"/>
      <c r="W90" s="1160"/>
      <c r="X90" s="1160"/>
      <c r="Y90" s="1160"/>
      <c r="Z90" s="1160"/>
      <c r="AA90" s="1160"/>
      <c r="AB90" s="1632"/>
      <c r="AC90" s="566"/>
      <c r="AD90" s="566"/>
      <c r="AE90" s="566"/>
      <c r="AF90" s="566"/>
      <c r="AG90" s="1641">
        <v>11</v>
      </c>
    </row>
    <row s="1641" customFormat="1" customHeight="1" ht="11.549999999999999">
      <c r="A91" s="987"/>
      <c r="B91" s="1636"/>
      <c r="C91" s="1636"/>
      <c r="D91" s="351"/>
      <c r="J91" s="1641"/>
      <c r="L91" s="1160"/>
      <c r="M91" s="1636"/>
      <c r="N91" s="1636"/>
      <c r="O91" s="1160"/>
      <c r="P91" s="1160"/>
      <c r="Q91" s="1160"/>
      <c r="R91" s="1160"/>
      <c r="S91" s="1636"/>
      <c r="T91" s="1160"/>
      <c r="U91" s="1160"/>
      <c r="V91" s="544"/>
      <c r="W91" s="1160"/>
      <c r="X91" s="1160"/>
      <c r="Y91" s="1160"/>
      <c r="Z91" s="1160"/>
      <c r="AA91" s="1160"/>
      <c r="AB91" s="1632"/>
      <c r="AC91" s="566"/>
      <c r="AD91" s="566"/>
      <c r="AE91" s="566"/>
      <c r="AF91" s="566"/>
      <c r="AG91" s="1641">
        <v>11</v>
      </c>
    </row>
    <row s="1641" customFormat="1" customHeight="1" ht="11.549999999999999">
      <c r="A92" s="987"/>
      <c r="B92" s="1636"/>
      <c r="C92" s="1636"/>
      <c r="D92" s="351"/>
      <c r="J92" s="1641"/>
      <c r="L92" s="1160"/>
      <c r="M92" s="1636"/>
      <c r="N92" s="1636"/>
      <c r="O92" s="1160"/>
      <c r="P92" s="1160"/>
      <c r="Q92" s="1160"/>
      <c r="R92" s="1160"/>
      <c r="S92" s="1636"/>
      <c r="T92" s="1160"/>
      <c r="U92" s="1160"/>
      <c r="V92" s="544"/>
      <c r="W92" s="1160"/>
      <c r="X92" s="1160"/>
      <c r="Y92" s="1160"/>
      <c r="Z92" s="1160"/>
      <c r="AA92" s="1160"/>
      <c r="AB92" s="1632"/>
      <c r="AC92" s="566"/>
      <c r="AD92" s="566"/>
      <c r="AE92" s="566"/>
      <c r="AF92" s="566"/>
      <c r="AG92" s="1641">
        <v>11</v>
      </c>
    </row>
    <row s="1641" customFormat="1" customHeight="1" ht="11.549999999999999">
      <c r="A93" s="987"/>
      <c r="B93" s="1636"/>
      <c r="C93" s="1636"/>
      <c r="D93" s="351"/>
      <c r="J93" s="1641"/>
      <c r="L93" s="1160"/>
      <c r="M93" s="1636"/>
      <c r="N93" s="1636"/>
      <c r="O93" s="1160"/>
      <c r="P93" s="1160"/>
      <c r="Q93" s="1160"/>
      <c r="R93" s="1160"/>
      <c r="S93" s="1636"/>
      <c r="T93" s="1160"/>
      <c r="U93" s="1160"/>
      <c r="V93" s="544"/>
      <c r="W93" s="1160"/>
      <c r="X93" s="1160"/>
      <c r="Y93" s="1160"/>
      <c r="Z93" s="1160"/>
      <c r="AA93" s="1160"/>
      <c r="AB93" s="1632"/>
      <c r="AC93" s="566"/>
      <c r="AD93" s="566"/>
      <c r="AE93" s="566"/>
      <c r="AF93" s="566"/>
      <c r="AG93" s="1641">
        <v>11</v>
      </c>
    </row>
    <row s="1641" customFormat="1" customHeight="1" ht="11.549999999999999">
      <c r="A94" s="987"/>
      <c r="B94" s="1636"/>
      <c r="C94" s="1636"/>
      <c r="D94" s="351"/>
      <c r="J94" s="1641"/>
      <c r="L94" s="1160"/>
      <c r="M94" s="1636"/>
      <c r="N94" s="1636"/>
      <c r="O94" s="1160"/>
      <c r="P94" s="1160"/>
      <c r="Q94" s="1160"/>
      <c r="R94" s="1160"/>
      <c r="S94" s="1636"/>
      <c r="T94" s="1160"/>
      <c r="U94" s="1160"/>
      <c r="V94" s="544"/>
      <c r="W94" s="1160"/>
      <c r="X94" s="1160"/>
      <c r="Y94" s="1160"/>
      <c r="Z94" s="1160"/>
      <c r="AA94" s="1160"/>
      <c r="AB94" s="1632"/>
      <c r="AC94" s="566"/>
      <c r="AD94" s="566"/>
      <c r="AE94" s="566"/>
      <c r="AF94" s="566"/>
      <c r="AG94" s="1641">
        <v>11</v>
      </c>
    </row>
    <row s="1641" customFormat="1" customHeight="1" ht="11.549999999999999">
      <c r="A95" s="987"/>
      <c r="B95" s="1636"/>
      <c r="C95" s="1636"/>
      <c r="D95" s="351"/>
      <c r="J95" s="1641"/>
      <c r="L95" s="1160"/>
      <c r="M95" s="1636"/>
      <c r="N95" s="1636"/>
      <c r="O95" s="1160"/>
      <c r="P95" s="1160"/>
      <c r="Q95" s="1160"/>
      <c r="R95" s="1160"/>
      <c r="S95" s="1636"/>
      <c r="T95" s="1160"/>
      <c r="U95" s="1160"/>
      <c r="V95" s="544"/>
      <c r="W95" s="1160"/>
      <c r="X95" s="1160"/>
      <c r="Y95" s="1160"/>
      <c r="Z95" s="1160"/>
      <c r="AA95" s="1160"/>
      <c r="AB95" s="1632"/>
      <c r="AC95" s="566"/>
      <c r="AD95" s="566"/>
      <c r="AE95" s="566"/>
      <c r="AF95" s="566"/>
      <c r="AG95" s="1641">
        <v>11</v>
      </c>
    </row>
    <row s="1641" customFormat="1" customHeight="1" ht="11.549999999999999">
      <c r="A96" s="987"/>
      <c r="B96" s="1636"/>
      <c r="C96" s="1636"/>
      <c r="D96" s="351"/>
      <c r="J96" s="1641"/>
      <c r="L96" s="1160"/>
      <c r="M96" s="1636"/>
      <c r="N96" s="1636"/>
      <c r="O96" s="1160"/>
      <c r="P96" s="1160"/>
      <c r="Q96" s="1160"/>
      <c r="R96" s="1160"/>
      <c r="S96" s="1636"/>
      <c r="T96" s="1160"/>
      <c r="U96" s="1160"/>
      <c r="V96" s="544"/>
      <c r="W96" s="1160"/>
      <c r="X96" s="1160"/>
      <c r="Y96" s="1160"/>
      <c r="Z96" s="1160"/>
      <c r="AA96" s="1160"/>
      <c r="AB96" s="1632"/>
      <c r="AC96" s="566"/>
      <c r="AD96" s="566"/>
      <c r="AE96" s="566"/>
      <c r="AF96" s="566"/>
      <c r="AG96" s="1641">
        <v>11</v>
      </c>
    </row>
    <row s="1641" customFormat="1" customHeight="1" ht="11.549999999999999">
      <c r="A97" s="987"/>
      <c r="B97" s="1636"/>
      <c r="C97" s="1636"/>
      <c r="D97" s="351"/>
      <c r="J97" s="1641"/>
      <c r="L97" s="1160"/>
      <c r="M97" s="1636"/>
      <c r="N97" s="1636"/>
      <c r="O97" s="1160"/>
      <c r="P97" s="1160"/>
      <c r="Q97" s="1160"/>
      <c r="R97" s="1160"/>
      <c r="S97" s="1636"/>
      <c r="T97" s="1160"/>
      <c r="U97" s="1160"/>
      <c r="V97" s="544"/>
      <c r="W97" s="1160"/>
      <c r="X97" s="1160"/>
      <c r="Y97" s="1160"/>
      <c r="Z97" s="1160"/>
      <c r="AA97" s="1160"/>
      <c r="AB97" s="1632"/>
      <c r="AC97" s="566"/>
      <c r="AD97" s="566"/>
      <c r="AE97" s="566"/>
      <c r="AF97" s="566"/>
      <c r="AG97" s="1641">
        <v>11</v>
      </c>
    </row>
    <row s="1641" customFormat="1" customHeight="1" ht="11.549999999999999">
      <c r="A98" s="987"/>
      <c r="B98" s="1636"/>
      <c r="C98" s="1636"/>
      <c r="D98" s="351"/>
      <c r="J98" s="1641"/>
      <c r="L98" s="1160"/>
      <c r="M98" s="1636"/>
      <c r="N98" s="1636"/>
      <c r="O98" s="1160"/>
      <c r="P98" s="1160"/>
      <c r="Q98" s="1160"/>
      <c r="R98" s="1160"/>
      <c r="S98" s="1636"/>
      <c r="T98" s="1160"/>
      <c r="U98" s="1160"/>
      <c r="V98" s="544"/>
      <c r="W98" s="1160"/>
      <c r="X98" s="1160"/>
      <c r="Y98" s="1160"/>
      <c r="Z98" s="1160"/>
      <c r="AA98" s="1160"/>
      <c r="AB98" s="1632"/>
      <c r="AC98" s="566"/>
      <c r="AD98" s="566"/>
      <c r="AE98" s="566"/>
      <c r="AF98" s="566"/>
      <c r="AG98" s="1641">
        <v>11</v>
      </c>
    </row>
    <row s="1641" customFormat="1" customHeight="1" ht="11.549999999999999">
      <c r="A99" s="987"/>
      <c r="B99" s="1636"/>
      <c r="C99" s="1636"/>
      <c r="D99" s="351"/>
      <c r="J99" s="1641"/>
      <c r="L99" s="1160"/>
      <c r="M99" s="1636"/>
      <c r="N99" s="1636"/>
      <c r="O99" s="1160"/>
      <c r="P99" s="1160"/>
      <c r="Q99" s="1160"/>
      <c r="R99" s="1160"/>
      <c r="S99" s="1636"/>
      <c r="T99" s="1160"/>
      <c r="U99" s="1160"/>
      <c r="V99" s="544"/>
      <c r="W99" s="1160"/>
      <c r="X99" s="1160"/>
      <c r="Y99" s="1160"/>
      <c r="Z99" s="1160"/>
      <c r="AA99" s="1160"/>
      <c r="AB99" s="1632"/>
      <c r="AC99" s="566"/>
      <c r="AD99" s="566"/>
      <c r="AE99" s="566"/>
      <c r="AF99" s="566"/>
      <c r="AG99" s="1641">
        <v>11</v>
      </c>
    </row>
    <row s="1641" customFormat="1" customHeight="1" ht="11.549999999999999">
      <c r="A100" s="987"/>
      <c r="B100" s="1636"/>
      <c r="C100" s="1636"/>
      <c r="D100" s="351"/>
      <c r="J100" s="1641"/>
      <c r="L100" s="1160"/>
      <c r="M100" s="1636"/>
      <c r="N100" s="1636"/>
      <c r="O100" s="1160"/>
      <c r="P100" s="1160"/>
      <c r="Q100" s="1160"/>
      <c r="R100" s="1160"/>
      <c r="S100" s="1636"/>
      <c r="T100" s="1160"/>
      <c r="U100" s="1160"/>
      <c r="V100" s="544"/>
      <c r="W100" s="1160"/>
      <c r="X100" s="1160"/>
      <c r="Y100" s="1160"/>
      <c r="Z100" s="1160"/>
      <c r="AA100" s="1160"/>
      <c r="AB100" s="1632"/>
      <c r="AC100" s="566"/>
      <c r="AD100" s="566"/>
      <c r="AE100" s="566"/>
      <c r="AF100" s="566"/>
      <c r="AG100" s="1641">
        <v>11</v>
      </c>
    </row>
    <row s="1641" customFormat="1" customHeight="1" ht="11.549999999999999">
      <c r="A101" s="987"/>
      <c r="B101" s="1636"/>
      <c r="C101" s="1636"/>
      <c r="D101" s="351"/>
      <c r="J101" s="1641"/>
      <c r="L101" s="1160"/>
      <c r="M101" s="1636"/>
      <c r="N101" s="1636"/>
      <c r="O101" s="1160"/>
      <c r="P101" s="1160"/>
      <c r="Q101" s="1160"/>
      <c r="R101" s="1160"/>
      <c r="S101" s="1636"/>
      <c r="T101" s="1160"/>
      <c r="U101" s="1160"/>
      <c r="V101" s="544"/>
      <c r="W101" s="1160"/>
      <c r="X101" s="1160"/>
      <c r="Y101" s="1160"/>
      <c r="Z101" s="1160"/>
      <c r="AA101" s="1160"/>
      <c r="AB101" s="1632"/>
      <c r="AC101" s="566"/>
      <c r="AD101" s="566"/>
      <c r="AE101" s="566"/>
      <c r="AF101" s="566"/>
      <c r="AG101" s="1641">
        <v>11</v>
      </c>
    </row>
    <row s="1641" customFormat="1" customHeight="1" ht="11.549999999999999">
      <c r="A102" s="987"/>
      <c r="B102" s="1636"/>
      <c r="C102" s="1636"/>
      <c r="D102" s="351"/>
      <c r="J102" s="1641"/>
      <c r="L102" s="1160"/>
      <c r="M102" s="1636"/>
      <c r="N102" s="1636"/>
      <c r="O102" s="1160"/>
      <c r="P102" s="1160"/>
      <c r="Q102" s="1160"/>
      <c r="R102" s="1160"/>
      <c r="S102" s="1636"/>
      <c r="T102" s="1160"/>
      <c r="U102" s="1160"/>
      <c r="V102" s="544"/>
      <c r="W102" s="1160"/>
      <c r="X102" s="1160"/>
      <c r="Y102" s="1160"/>
      <c r="Z102" s="1160"/>
      <c r="AA102" s="1160"/>
      <c r="AB102" s="1632"/>
      <c r="AC102" s="566"/>
      <c r="AD102" s="566"/>
      <c r="AE102" s="566"/>
      <c r="AF102" s="566"/>
      <c r="AG102" s="1641">
        <v>11</v>
      </c>
    </row>
    <row s="1641" customFormat="1" customHeight="1" ht="11.549999999999999">
      <c r="A103" s="987"/>
      <c r="B103" s="1636"/>
      <c r="C103" s="1636"/>
      <c r="D103" s="351"/>
      <c r="J103" s="1641"/>
      <c r="L103" s="1160"/>
      <c r="M103" s="1636"/>
      <c r="N103" s="1636"/>
      <c r="O103" s="1160"/>
      <c r="P103" s="1160"/>
      <c r="Q103" s="1160"/>
      <c r="R103" s="1160"/>
      <c r="S103" s="1636"/>
      <c r="T103" s="1160"/>
      <c r="U103" s="1160"/>
      <c r="V103" s="544"/>
      <c r="W103" s="1160"/>
      <c r="X103" s="1160"/>
      <c r="Y103" s="1160"/>
      <c r="Z103" s="1160"/>
      <c r="AA103" s="1160"/>
      <c r="AB103" s="1632"/>
      <c r="AC103" s="566"/>
      <c r="AD103" s="566"/>
      <c r="AE103" s="566"/>
      <c r="AF103" s="566"/>
      <c r="AG103" s="1641">
        <v>11</v>
      </c>
    </row>
    <row s="1641" customFormat="1" customHeight="1" ht="11.549999999999999">
      <c r="A104" s="987"/>
      <c r="B104" s="1636"/>
      <c r="C104" s="1636"/>
      <c r="D104" s="351"/>
      <c r="J104" s="1641"/>
      <c r="L104" s="1160"/>
      <c r="M104" s="1636"/>
      <c r="N104" s="1636"/>
      <c r="O104" s="1160"/>
      <c r="P104" s="1160"/>
      <c r="Q104" s="1160"/>
      <c r="R104" s="1160"/>
      <c r="S104" s="1636"/>
      <c r="T104" s="1160"/>
      <c r="U104" s="1160"/>
      <c r="V104" s="544"/>
      <c r="W104" s="1160"/>
      <c r="X104" s="1160"/>
      <c r="Y104" s="1160"/>
      <c r="Z104" s="1160"/>
      <c r="AA104" s="1160"/>
      <c r="AB104" s="1632"/>
      <c r="AC104" s="566"/>
      <c r="AD104" s="566"/>
      <c r="AE104" s="566"/>
      <c r="AF104" s="566"/>
      <c r="AG104" s="1641">
        <v>11</v>
      </c>
    </row>
    <row s="1641" customFormat="1" customHeight="1" ht="11.549999999999999">
      <c r="A105" s="987"/>
      <c r="B105" s="1636"/>
      <c r="C105" s="1636"/>
      <c r="D105" s="351"/>
      <c r="J105" s="1641"/>
      <c r="L105" s="1160"/>
      <c r="M105" s="1636"/>
      <c r="N105" s="1636"/>
      <c r="O105" s="1160"/>
      <c r="P105" s="1160"/>
      <c r="Q105" s="1160"/>
      <c r="R105" s="1160"/>
      <c r="S105" s="1636"/>
      <c r="T105" s="1160"/>
      <c r="U105" s="1160"/>
      <c r="V105" s="544"/>
      <c r="W105" s="1160"/>
      <c r="X105" s="1160"/>
      <c r="Y105" s="1160"/>
      <c r="Z105" s="1160"/>
      <c r="AA105" s="1160"/>
      <c r="AB105" s="1632"/>
      <c r="AC105" s="566"/>
      <c r="AD105" s="566"/>
      <c r="AE105" s="566"/>
      <c r="AF105" s="566"/>
      <c r="AG105" s="1641">
        <v>11</v>
      </c>
    </row>
    <row s="1641" customFormat="1" customHeight="1" ht="11.549999999999999">
      <c r="A106" s="987"/>
      <c r="B106" s="1636"/>
      <c r="C106" s="1636"/>
      <c r="D106" s="351"/>
      <c r="J106" s="1641"/>
      <c r="L106" s="1160"/>
      <c r="M106" s="1636"/>
      <c r="N106" s="1636"/>
      <c r="O106" s="1160"/>
      <c r="P106" s="1160"/>
      <c r="Q106" s="1160"/>
      <c r="R106" s="1160"/>
      <c r="S106" s="1636"/>
      <c r="T106" s="1160"/>
      <c r="U106" s="1160"/>
      <c r="V106" s="544"/>
      <c r="W106" s="1160"/>
      <c r="X106" s="1160"/>
      <c r="Y106" s="1160"/>
      <c r="Z106" s="1160"/>
      <c r="AA106" s="1160"/>
      <c r="AB106" s="1632"/>
      <c r="AC106" s="566"/>
      <c r="AD106" s="566"/>
      <c r="AE106" s="566"/>
      <c r="AF106" s="566"/>
      <c r="AG106" s="1641">
        <v>11</v>
      </c>
    </row>
    <row s="1641" customFormat="1" customHeight="1" ht="11.549999999999999">
      <c r="A107" s="987"/>
      <c r="B107" s="1636"/>
      <c r="C107" s="1636"/>
      <c r="D107" s="351"/>
      <c r="J107" s="1641"/>
      <c r="L107" s="1160"/>
      <c r="M107" s="1636"/>
      <c r="N107" s="1636"/>
      <c r="O107" s="1160"/>
      <c r="P107" s="1160"/>
      <c r="Q107" s="1160"/>
      <c r="R107" s="1160"/>
      <c r="S107" s="1636"/>
      <c r="T107" s="1160"/>
      <c r="U107" s="1160"/>
      <c r="V107" s="544"/>
      <c r="W107" s="1160"/>
      <c r="X107" s="1160"/>
      <c r="Y107" s="1160"/>
      <c r="Z107" s="1160"/>
      <c r="AA107" s="1160"/>
      <c r="AB107" s="1632"/>
      <c r="AC107" s="566"/>
      <c r="AD107" s="566"/>
      <c r="AE107" s="566"/>
      <c r="AF107" s="566"/>
      <c r="AG107" s="1641">
        <v>11</v>
      </c>
    </row>
    <row s="1641" customFormat="1" customHeight="1" ht="11.549999999999999">
      <c r="A108" s="987"/>
      <c r="B108" s="1636"/>
      <c r="C108" s="1636"/>
      <c r="D108" s="351"/>
      <c r="J108" s="1641"/>
      <c r="L108" s="1160"/>
      <c r="M108" s="1636"/>
      <c r="N108" s="1636"/>
      <c r="O108" s="1160"/>
      <c r="P108" s="1160"/>
      <c r="Q108" s="1160"/>
      <c r="R108" s="1160"/>
      <c r="S108" s="1636"/>
      <c r="T108" s="1160"/>
      <c r="U108" s="1160"/>
      <c r="V108" s="544"/>
      <c r="W108" s="1160"/>
      <c r="X108" s="1160"/>
      <c r="Y108" s="1160"/>
      <c r="Z108" s="1160"/>
      <c r="AA108" s="1160"/>
      <c r="AB108" s="1632"/>
      <c r="AC108" s="566"/>
      <c r="AD108" s="566"/>
      <c r="AE108" s="566"/>
      <c r="AF108" s="566"/>
      <c r="AG108" s="1641">
        <v>11</v>
      </c>
    </row>
    <row s="1641" customFormat="1" customHeight="1" ht="11.549999999999999">
      <c r="A109" s="987"/>
      <c r="B109" s="1636"/>
      <c r="C109" s="1636"/>
      <c r="D109" s="351"/>
      <c r="J109" s="1641"/>
      <c r="L109" s="1160"/>
      <c r="M109" s="1636"/>
      <c r="N109" s="1636"/>
      <c r="O109" s="1160"/>
      <c r="P109" s="1160"/>
      <c r="Q109" s="1160"/>
      <c r="R109" s="1160"/>
      <c r="S109" s="1636"/>
      <c r="T109" s="1160"/>
      <c r="U109" s="1160"/>
      <c r="V109" s="544"/>
      <c r="W109" s="1160"/>
      <c r="X109" s="1160"/>
      <c r="Y109" s="1160"/>
      <c r="Z109" s="1160"/>
      <c r="AA109" s="1160"/>
      <c r="AB109" s="1632"/>
      <c r="AC109" s="566"/>
      <c r="AD109" s="566"/>
      <c r="AE109" s="566"/>
      <c r="AF109" s="566"/>
      <c r="AG109" s="1641">
        <v>11</v>
      </c>
    </row>
    <row s="1641" customFormat="1" customHeight="1" ht="11.549999999999999">
      <c r="A110" s="987"/>
      <c r="B110" s="1636"/>
      <c r="C110" s="1636"/>
      <c r="D110" s="351"/>
      <c r="J110" s="1641"/>
      <c r="L110" s="1160"/>
      <c r="M110" s="1636"/>
      <c r="N110" s="1636"/>
      <c r="O110" s="1160"/>
      <c r="P110" s="1160"/>
      <c r="Q110" s="1160"/>
      <c r="R110" s="1160"/>
      <c r="S110" s="1636"/>
      <c r="T110" s="1160"/>
      <c r="U110" s="1160"/>
      <c r="V110" s="544"/>
      <c r="W110" s="1160"/>
      <c r="X110" s="1160"/>
      <c r="Y110" s="1160"/>
      <c r="Z110" s="1160"/>
      <c r="AA110" s="1160"/>
      <c r="AB110" s="1632"/>
      <c r="AC110" s="566"/>
      <c r="AD110" s="566"/>
      <c r="AE110" s="566"/>
      <c r="AF110" s="566"/>
      <c r="AG110" s="1641">
        <v>11</v>
      </c>
    </row>
    <row s="1641" customFormat="1" customHeight="1" ht="11.549999999999999">
      <c r="A111" s="987"/>
      <c r="B111" s="1636"/>
      <c r="C111" s="1636"/>
      <c r="D111" s="351"/>
      <c r="J111" s="1641"/>
      <c r="L111" s="1160"/>
      <c r="M111" s="1636"/>
      <c r="N111" s="1636"/>
      <c r="O111" s="1160"/>
      <c r="P111" s="1160"/>
      <c r="Q111" s="1160"/>
      <c r="R111" s="1160"/>
      <c r="S111" s="1636"/>
      <c r="T111" s="1160"/>
      <c r="U111" s="1160"/>
      <c r="V111" s="544"/>
      <c r="W111" s="1160"/>
      <c r="X111" s="1160"/>
      <c r="Y111" s="1160"/>
      <c r="Z111" s="1160"/>
      <c r="AA111" s="1160"/>
      <c r="AB111" s="1632"/>
      <c r="AC111" s="566"/>
      <c r="AD111" s="566"/>
      <c r="AE111" s="566"/>
      <c r="AF111" s="566"/>
      <c r="AG111" s="1641">
        <v>11</v>
      </c>
    </row>
    <row s="1641" customFormat="1" customHeight="1" ht="11.549999999999999">
      <c r="A112" s="987"/>
      <c r="B112" s="1636"/>
      <c r="C112" s="1636"/>
      <c r="D112" s="351"/>
      <c r="J112" s="1641"/>
      <c r="L112" s="1160"/>
      <c r="M112" s="1636"/>
      <c r="N112" s="1636"/>
      <c r="O112" s="1160"/>
      <c r="P112" s="1160"/>
      <c r="Q112" s="1160"/>
      <c r="R112" s="1160"/>
      <c r="S112" s="1636"/>
      <c r="T112" s="1160"/>
      <c r="U112" s="1160"/>
      <c r="V112" s="544"/>
      <c r="W112" s="1160"/>
      <c r="X112" s="1160"/>
      <c r="Y112" s="1160"/>
      <c r="Z112" s="1160"/>
      <c r="AA112" s="1160"/>
      <c r="AB112" s="1632"/>
      <c r="AC112" s="566"/>
      <c r="AD112" s="566"/>
      <c r="AE112" s="566"/>
      <c r="AF112" s="566"/>
      <c r="AG112" s="1641">
        <v>11</v>
      </c>
    </row>
    <row s="1641" customFormat="1" customHeight="1" ht="11.549999999999999">
      <c r="A113" s="987"/>
      <c r="B113" s="1636"/>
      <c r="C113" s="1636"/>
      <c r="D113" s="351"/>
      <c r="J113" s="1641"/>
      <c r="L113" s="1160"/>
      <c r="M113" s="1636"/>
      <c r="N113" s="1636"/>
      <c r="O113" s="1160"/>
      <c r="P113" s="1160"/>
      <c r="Q113" s="1160"/>
      <c r="R113" s="1160"/>
      <c r="S113" s="1636"/>
      <c r="T113" s="1160"/>
      <c r="U113" s="1160"/>
      <c r="V113" s="544"/>
      <c r="W113" s="1160"/>
      <c r="X113" s="1160"/>
      <c r="Y113" s="1160"/>
      <c r="Z113" s="1160"/>
      <c r="AA113" s="1160"/>
      <c r="AB113" s="1632"/>
      <c r="AC113" s="566"/>
      <c r="AD113" s="566"/>
      <c r="AE113" s="566"/>
      <c r="AF113" s="566"/>
      <c r="AG113" s="1641">
        <v>11</v>
      </c>
    </row>
    <row s="1641" customFormat="1" customHeight="1" ht="11.549999999999999">
      <c r="A114" s="987"/>
      <c r="B114" s="1636"/>
      <c r="C114" s="1636"/>
      <c r="D114" s="351"/>
      <c r="J114" s="1641"/>
      <c r="L114" s="1160"/>
      <c r="M114" s="1636"/>
      <c r="N114" s="1636"/>
      <c r="O114" s="1160"/>
      <c r="P114" s="1160"/>
      <c r="Q114" s="1160"/>
      <c r="R114" s="1160"/>
      <c r="S114" s="1636"/>
      <c r="T114" s="1160"/>
      <c r="U114" s="1160"/>
      <c r="V114" s="544"/>
      <c r="W114" s="1160"/>
      <c r="X114" s="1160"/>
      <c r="Y114" s="1160"/>
      <c r="Z114" s="1160"/>
      <c r="AA114" s="1160"/>
      <c r="AB114" s="1632"/>
      <c r="AC114" s="566"/>
      <c r="AD114" s="566"/>
      <c r="AE114" s="566"/>
      <c r="AF114" s="566"/>
      <c r="AG114" s="1641">
        <v>11</v>
      </c>
    </row>
    <row s="1641" customFormat="1" customHeight="1" ht="11.549999999999999">
      <c r="A115" s="987"/>
      <c r="B115" s="1636"/>
      <c r="C115" s="1636"/>
      <c r="D115" s="351"/>
      <c r="J115" s="1641"/>
      <c r="L115" s="1160"/>
      <c r="M115" s="1636"/>
      <c r="N115" s="1636"/>
      <c r="O115" s="1160"/>
      <c r="P115" s="1160"/>
      <c r="Q115" s="1160"/>
      <c r="R115" s="1160"/>
      <c r="S115" s="1636"/>
      <c r="T115" s="1160"/>
      <c r="U115" s="1160"/>
      <c r="V115" s="544"/>
      <c r="W115" s="1160"/>
      <c r="X115" s="1160"/>
      <c r="Y115" s="1160"/>
      <c r="Z115" s="1160"/>
      <c r="AA115" s="1160"/>
      <c r="AB115" s="1632"/>
      <c r="AC115" s="566"/>
      <c r="AD115" s="566"/>
      <c r="AE115" s="566"/>
      <c r="AF115" s="566"/>
      <c r="AG115" s="1641">
        <v>11</v>
      </c>
    </row>
    <row s="1641" customFormat="1" customHeight="1" ht="11.549999999999999">
      <c r="A116" s="987"/>
      <c r="B116" s="1636"/>
      <c r="C116" s="1636"/>
      <c r="D116" s="351"/>
      <c r="J116" s="1641"/>
      <c r="L116" s="1160"/>
      <c r="M116" s="1636"/>
      <c r="N116" s="1636"/>
      <c r="O116" s="1160"/>
      <c r="P116" s="1160"/>
      <c r="Q116" s="1160"/>
      <c r="R116" s="1160"/>
      <c r="S116" s="1636"/>
      <c r="T116" s="1160"/>
      <c r="U116" s="1160"/>
      <c r="V116" s="544"/>
      <c r="W116" s="1160"/>
      <c r="X116" s="1160"/>
      <c r="Y116" s="1160"/>
      <c r="Z116" s="1160"/>
      <c r="AA116" s="1160"/>
      <c r="AB116" s="1632"/>
      <c r="AC116" s="566"/>
      <c r="AD116" s="566"/>
      <c r="AE116" s="566"/>
      <c r="AF116" s="566"/>
      <c r="AG116" s="1641">
        <v>11</v>
      </c>
    </row>
    <row s="1641" customFormat="1" customHeight="1" ht="11.549999999999999">
      <c r="A117" s="987"/>
      <c r="B117" s="1636"/>
      <c r="C117" s="1636"/>
      <c r="D117" s="351"/>
      <c r="J117" s="1641"/>
      <c r="L117" s="1160"/>
      <c r="M117" s="1636"/>
      <c r="N117" s="1636"/>
      <c r="O117" s="1160"/>
      <c r="P117" s="1160"/>
      <c r="Q117" s="1160"/>
      <c r="R117" s="1160"/>
      <c r="S117" s="1636"/>
      <c r="T117" s="1160"/>
      <c r="U117" s="1160"/>
      <c r="V117" s="544"/>
      <c r="W117" s="1160"/>
      <c r="X117" s="1160"/>
      <c r="Y117" s="1160"/>
      <c r="Z117" s="1160"/>
      <c r="AA117" s="1160"/>
      <c r="AB117" s="1632"/>
      <c r="AC117" s="566"/>
      <c r="AD117" s="566"/>
      <c r="AE117" s="566"/>
      <c r="AF117" s="566"/>
      <c r="AG117" s="1641">
        <v>11</v>
      </c>
    </row>
    <row s="1641" customFormat="1" customHeight="1" ht="11.549999999999999">
      <c r="A118" s="987"/>
      <c r="B118" s="1636"/>
      <c r="C118" s="1636"/>
      <c r="D118" s="351"/>
      <c r="J118" s="1641"/>
      <c r="L118" s="1160"/>
      <c r="M118" s="1636"/>
      <c r="N118" s="1636"/>
      <c r="O118" s="1160"/>
      <c r="P118" s="1160"/>
      <c r="Q118" s="1160"/>
      <c r="R118" s="1160"/>
      <c r="S118" s="1636"/>
      <c r="T118" s="1160"/>
      <c r="U118" s="1160"/>
      <c r="V118" s="544"/>
      <c r="W118" s="1160"/>
      <c r="X118" s="1160"/>
      <c r="Y118" s="1160"/>
      <c r="Z118" s="1160"/>
      <c r="AA118" s="1160"/>
      <c r="AB118" s="1632"/>
      <c r="AC118" s="566"/>
      <c r="AD118" s="566"/>
      <c r="AE118" s="566"/>
      <c r="AF118" s="566"/>
      <c r="AG118" s="1641">
        <v>11</v>
      </c>
    </row>
    <row s="1641" customFormat="1" customHeight="1" ht="11.549999999999999">
      <c r="A119" s="987"/>
      <c r="B119" s="1636"/>
      <c r="C119" s="1636"/>
      <c r="D119" s="351"/>
      <c r="J119" s="1641"/>
      <c r="L119" s="1160"/>
      <c r="M119" s="1636"/>
      <c r="N119" s="1636"/>
      <c r="O119" s="1160"/>
      <c r="P119" s="1160"/>
      <c r="Q119" s="1160"/>
      <c r="R119" s="1160"/>
      <c r="S119" s="1636"/>
      <c r="T119" s="1160"/>
      <c r="U119" s="1160"/>
      <c r="V119" s="544"/>
      <c r="W119" s="1160"/>
      <c r="X119" s="1160"/>
      <c r="Y119" s="1160"/>
      <c r="Z119" s="1160"/>
      <c r="AA119" s="1160"/>
      <c r="AB119" s="1632"/>
      <c r="AC119" s="566"/>
      <c r="AD119" s="566"/>
      <c r="AE119" s="566"/>
      <c r="AF119" s="566"/>
      <c r="AG119" s="1641">
        <v>11</v>
      </c>
    </row>
    <row s="1641" customFormat="1" customHeight="1" ht="11.549999999999999">
      <c r="A120" s="987"/>
      <c r="B120" s="1636"/>
      <c r="C120" s="1636"/>
      <c r="D120" s="351"/>
      <c r="J120" s="1641"/>
      <c r="L120" s="1160"/>
      <c r="M120" s="1636"/>
      <c r="N120" s="1636"/>
      <c r="O120" s="1160"/>
      <c r="P120" s="1160"/>
      <c r="Q120" s="1160"/>
      <c r="R120" s="1160"/>
      <c r="S120" s="1636"/>
      <c r="T120" s="1160"/>
      <c r="U120" s="1160"/>
      <c r="V120" s="544"/>
      <c r="W120" s="1160"/>
      <c r="X120" s="1160"/>
      <c r="Y120" s="1160"/>
      <c r="Z120" s="1160"/>
      <c r="AA120" s="1160"/>
      <c r="AB120" s="1632"/>
      <c r="AC120" s="566"/>
      <c r="AD120" s="566"/>
      <c r="AE120" s="566"/>
      <c r="AF120" s="566"/>
      <c r="AG120" s="1641">
        <v>11</v>
      </c>
    </row>
    <row s="1641" customFormat="1" customHeight="1" ht="11.549999999999999">
      <c r="A121" s="987"/>
      <c r="B121" s="1636"/>
      <c r="C121" s="1636"/>
      <c r="D121" s="351"/>
      <c r="J121" s="1641"/>
      <c r="L121" s="1160"/>
      <c r="M121" s="1636"/>
      <c r="N121" s="1636"/>
      <c r="O121" s="1160"/>
      <c r="P121" s="1160"/>
      <c r="Q121" s="1160"/>
      <c r="R121" s="1160"/>
      <c r="S121" s="1636"/>
      <c r="T121" s="1160"/>
      <c r="U121" s="1160"/>
      <c r="V121" s="544"/>
      <c r="W121" s="1160"/>
      <c r="X121" s="1160"/>
      <c r="Y121" s="1160"/>
      <c r="Z121" s="1160"/>
      <c r="AA121" s="1160"/>
      <c r="AB121" s="1632"/>
      <c r="AC121" s="566"/>
      <c r="AD121" s="566"/>
      <c r="AE121" s="566"/>
      <c r="AF121" s="566"/>
      <c r="AG121" s="1641">
        <v>11</v>
      </c>
    </row>
    <row s="1641" customFormat="1" customHeight="1" ht="11.549999999999999">
      <c r="A122" s="987"/>
      <c r="B122" s="1636"/>
      <c r="C122" s="1636"/>
      <c r="D122" s="351"/>
      <c r="J122" s="1641"/>
      <c r="L122" s="1160"/>
      <c r="M122" s="1636"/>
      <c r="N122" s="1636"/>
      <c r="O122" s="1160"/>
      <c r="P122" s="1160"/>
      <c r="Q122" s="1160"/>
      <c r="R122" s="1160"/>
      <c r="S122" s="1636"/>
      <c r="T122" s="1160"/>
      <c r="U122" s="1160"/>
      <c r="V122" s="544"/>
      <c r="W122" s="1160"/>
      <c r="X122" s="1160"/>
      <c r="Y122" s="1160"/>
      <c r="Z122" s="1160"/>
      <c r="AA122" s="1160"/>
      <c r="AB122" s="1632"/>
      <c r="AC122" s="566"/>
      <c r="AD122" s="566"/>
      <c r="AE122" s="566"/>
      <c r="AF122" s="566"/>
      <c r="AG122" s="1641">
        <v>11</v>
      </c>
    </row>
    <row s="1641" customFormat="1" customHeight="1" ht="11.549999999999999">
      <c r="A123" s="987"/>
      <c r="B123" s="1636"/>
      <c r="C123" s="1636"/>
      <c r="D123" s="351"/>
      <c r="J123" s="1641"/>
      <c r="L123" s="1160"/>
      <c r="M123" s="1636"/>
      <c r="N123" s="1636"/>
      <c r="O123" s="1160"/>
      <c r="P123" s="1160"/>
      <c r="Q123" s="1160"/>
      <c r="R123" s="1160"/>
      <c r="S123" s="1636"/>
      <c r="T123" s="1160"/>
      <c r="U123" s="1160"/>
      <c r="V123" s="544"/>
      <c r="W123" s="1160"/>
      <c r="X123" s="1160"/>
      <c r="Y123" s="1160"/>
      <c r="Z123" s="1160"/>
      <c r="AA123" s="1160"/>
      <c r="AB123" s="1632"/>
      <c r="AC123" s="566"/>
      <c r="AD123" s="566"/>
      <c r="AE123" s="566"/>
      <c r="AF123" s="566"/>
      <c r="AG123" s="1641">
        <v>11</v>
      </c>
    </row>
    <row s="1641" customFormat="1" customHeight="1" ht="11.549999999999999">
      <c r="A124" s="987"/>
      <c r="B124" s="1636"/>
      <c r="C124" s="1636"/>
      <c r="D124" s="351"/>
      <c r="J124" s="1641"/>
      <c r="L124" s="1160"/>
      <c r="M124" s="1636"/>
      <c r="N124" s="1636"/>
      <c r="O124" s="1160"/>
      <c r="P124" s="1160"/>
      <c r="Q124" s="1160"/>
      <c r="R124" s="1160"/>
      <c r="S124" s="1636"/>
      <c r="T124" s="1160"/>
      <c r="U124" s="1160"/>
      <c r="V124" s="544"/>
      <c r="W124" s="1160"/>
      <c r="X124" s="1160"/>
      <c r="Y124" s="1160"/>
      <c r="Z124" s="1160"/>
      <c r="AA124" s="1160"/>
      <c r="AB124" s="1632"/>
      <c r="AC124" s="566"/>
      <c r="AD124" s="566"/>
      <c r="AE124" s="566"/>
      <c r="AF124" s="566"/>
      <c r="AG124" s="1641">
        <v>11</v>
      </c>
    </row>
    <row s="1641" customFormat="1" customHeight="1" ht="11.549999999999999">
      <c r="A125" s="987"/>
      <c r="B125" s="1636"/>
      <c r="C125" s="1636"/>
      <c r="D125" s="351"/>
      <c r="J125" s="1641"/>
      <c r="L125" s="1160"/>
      <c r="M125" s="1636"/>
      <c r="N125" s="1636"/>
      <c r="O125" s="1160"/>
      <c r="P125" s="1160"/>
      <c r="Q125" s="1160"/>
      <c r="R125" s="1160"/>
      <c r="S125" s="1636"/>
      <c r="T125" s="1160"/>
      <c r="U125" s="1160"/>
      <c r="V125" s="544"/>
      <c r="W125" s="1160"/>
      <c r="X125" s="1160"/>
      <c r="Y125" s="1160"/>
      <c r="Z125" s="1160"/>
      <c r="AA125" s="1160"/>
      <c r="AB125" s="1632"/>
      <c r="AC125" s="566"/>
      <c r="AD125" s="566"/>
      <c r="AE125" s="566"/>
      <c r="AF125" s="566"/>
      <c r="AG125" s="1641">
        <v>11</v>
      </c>
    </row>
    <row s="1641" customFormat="1" customHeight="1" ht="11.549999999999999">
      <c r="A126" s="987"/>
      <c r="B126" s="1636"/>
      <c r="C126" s="1636"/>
      <c r="D126" s="351"/>
      <c r="J126" s="1641"/>
      <c r="L126" s="1160"/>
      <c r="M126" s="1636"/>
      <c r="N126" s="1636"/>
      <c r="O126" s="1160"/>
      <c r="P126" s="1160"/>
      <c r="Q126" s="1160"/>
      <c r="R126" s="1160"/>
      <c r="S126" s="1636"/>
      <c r="T126" s="1160"/>
      <c r="U126" s="1160"/>
      <c r="V126" s="544"/>
      <c r="W126" s="1160"/>
      <c r="X126" s="1160"/>
      <c r="Y126" s="1160"/>
      <c r="Z126" s="1160"/>
      <c r="AA126" s="1160"/>
      <c r="AB126" s="1632"/>
      <c r="AC126" s="566"/>
      <c r="AD126" s="566"/>
      <c r="AE126" s="566"/>
      <c r="AF126" s="566"/>
      <c r="AG126" s="1641">
        <v>11</v>
      </c>
    </row>
    <row s="1641" customFormat="1" customHeight="1" ht="11.549999999999999">
      <c r="A127" s="987"/>
      <c r="B127" s="1636"/>
      <c r="C127" s="1636"/>
      <c r="D127" s="351"/>
      <c r="J127" s="1641"/>
      <c r="L127" s="1160"/>
      <c r="M127" s="1636"/>
      <c r="N127" s="1636"/>
      <c r="O127" s="1160"/>
      <c r="P127" s="1160"/>
      <c r="Q127" s="1160"/>
      <c r="R127" s="1160"/>
      <c r="S127" s="1636"/>
      <c r="T127" s="1160"/>
      <c r="U127" s="1160"/>
      <c r="V127" s="544"/>
      <c r="W127" s="1160"/>
      <c r="X127" s="1160"/>
      <c r="Y127" s="1160"/>
      <c r="Z127" s="1160"/>
      <c r="AA127" s="1160"/>
      <c r="AB127" s="1632"/>
      <c r="AC127" s="566"/>
      <c r="AD127" s="566"/>
      <c r="AE127" s="566"/>
      <c r="AF127" s="566"/>
      <c r="AG127" s="1641">
        <v>11</v>
      </c>
    </row>
    <row s="1641" customFormat="1" customHeight="1" ht="11.549999999999999">
      <c r="A128" s="987"/>
      <c r="B128" s="1636"/>
      <c r="C128" s="1636"/>
      <c r="D128" s="351"/>
      <c r="J128" s="1641"/>
      <c r="L128" s="1160"/>
      <c r="M128" s="1636"/>
      <c r="N128" s="1636"/>
      <c r="O128" s="1160"/>
      <c r="P128" s="1160"/>
      <c r="Q128" s="1160"/>
      <c r="R128" s="1160"/>
      <c r="S128" s="1636"/>
      <c r="T128" s="1160"/>
      <c r="U128" s="1160"/>
      <c r="V128" s="544"/>
      <c r="W128" s="1160"/>
      <c r="X128" s="1160"/>
      <c r="Y128" s="1160"/>
      <c r="Z128" s="1160"/>
      <c r="AA128" s="1160"/>
      <c r="AB128" s="1632"/>
      <c r="AC128" s="566"/>
      <c r="AD128" s="566"/>
      <c r="AE128" s="566"/>
      <c r="AF128" s="566"/>
      <c r="AG128" s="1641">
        <v>11</v>
      </c>
    </row>
    <row s="1641" customFormat="1" customHeight="1" ht="11.549999999999999">
      <c r="A129" s="987"/>
      <c r="B129" s="1636"/>
      <c r="C129" s="1636"/>
      <c r="D129" s="351"/>
      <c r="J129" s="1641"/>
      <c r="L129" s="1160"/>
      <c r="M129" s="1636"/>
      <c r="N129" s="1636"/>
      <c r="O129" s="1160"/>
      <c r="P129" s="1160"/>
      <c r="Q129" s="1160"/>
      <c r="R129" s="1160"/>
      <c r="S129" s="1636"/>
      <c r="T129" s="1160"/>
      <c r="U129" s="1160"/>
      <c r="V129" s="544"/>
      <c r="W129" s="1160"/>
      <c r="X129" s="1160"/>
      <c r="Y129" s="1160"/>
      <c r="Z129" s="1160"/>
      <c r="AA129" s="1160"/>
      <c r="AB129" s="1632"/>
      <c r="AC129" s="566"/>
      <c r="AD129" s="566"/>
      <c r="AE129" s="566"/>
      <c r="AF129" s="566"/>
      <c r="AG129" s="1641">
        <v>11</v>
      </c>
    </row>
    <row s="1641" customFormat="1" customHeight="1" ht="11.549999999999999">
      <c r="A130" s="987"/>
      <c r="B130" s="1636"/>
      <c r="C130" s="1636"/>
      <c r="D130" s="351"/>
      <c r="J130" s="1641"/>
      <c r="L130" s="1160"/>
      <c r="M130" s="1636"/>
      <c r="N130" s="1636"/>
      <c r="O130" s="1160"/>
      <c r="P130" s="1160"/>
      <c r="Q130" s="1160"/>
      <c r="R130" s="1160"/>
      <c r="S130" s="1636"/>
      <c r="T130" s="1160"/>
      <c r="U130" s="1160"/>
      <c r="V130" s="544"/>
      <c r="W130" s="1160"/>
      <c r="X130" s="1160"/>
      <c r="Y130" s="1160"/>
      <c r="Z130" s="1160"/>
      <c r="AA130" s="1160"/>
      <c r="AB130" s="1632"/>
      <c r="AC130" s="566"/>
      <c r="AD130" s="566"/>
      <c r="AE130" s="566"/>
      <c r="AF130" s="566"/>
      <c r="AG130" s="1641">
        <v>11</v>
      </c>
    </row>
    <row s="1641" customFormat="1" customHeight="1" ht="11.549999999999999">
      <c r="A131" s="987"/>
      <c r="B131" s="1636"/>
      <c r="C131" s="1636"/>
      <c r="D131" s="351"/>
      <c r="J131" s="1641"/>
      <c r="L131" s="1160"/>
      <c r="M131" s="1636"/>
      <c r="N131" s="1636"/>
      <c r="O131" s="1160"/>
      <c r="P131" s="1160"/>
      <c r="Q131" s="1160"/>
      <c r="R131" s="1160"/>
      <c r="S131" s="1636"/>
      <c r="T131" s="1160"/>
      <c r="U131" s="1160"/>
      <c r="V131" s="544"/>
      <c r="W131" s="1160"/>
      <c r="X131" s="1160"/>
      <c r="Y131" s="1160"/>
      <c r="Z131" s="1160"/>
      <c r="AA131" s="1160"/>
      <c r="AB131" s="1632"/>
      <c r="AC131" s="566"/>
      <c r="AD131" s="566"/>
      <c r="AE131" s="566"/>
      <c r="AF131" s="566"/>
      <c r="AG131" s="1641">
        <v>11</v>
      </c>
    </row>
    <row s="1641" customFormat="1" customHeight="1" ht="11.549999999999999">
      <c r="A132" s="987"/>
      <c r="B132" s="1636"/>
      <c r="C132" s="1636"/>
      <c r="D132" s="351"/>
      <c r="J132" s="1641"/>
      <c r="L132" s="1160"/>
      <c r="M132" s="1636"/>
      <c r="N132" s="1636"/>
      <c r="O132" s="1160"/>
      <c r="P132" s="1160"/>
      <c r="Q132" s="1160"/>
      <c r="R132" s="1160"/>
      <c r="S132" s="1636"/>
      <c r="T132" s="1160"/>
      <c r="U132" s="1160"/>
      <c r="V132" s="544"/>
      <c r="W132" s="1160"/>
      <c r="X132" s="1160"/>
      <c r="Y132" s="1160"/>
      <c r="Z132" s="1160"/>
      <c r="AA132" s="1160"/>
      <c r="AB132" s="1632"/>
      <c r="AC132" s="566"/>
      <c r="AD132" s="566"/>
      <c r="AE132" s="566"/>
      <c r="AF132" s="566"/>
      <c r="AG132" s="1641">
        <v>11</v>
      </c>
    </row>
    <row s="1641" customFormat="1" customHeight="1" ht="11.549999999999999">
      <c r="A133" s="987"/>
      <c r="B133" s="1636"/>
      <c r="C133" s="1636"/>
      <c r="D133" s="351"/>
      <c r="J133" s="1641"/>
      <c r="L133" s="1160"/>
      <c r="M133" s="1636"/>
      <c r="N133" s="1636"/>
      <c r="O133" s="1160"/>
      <c r="P133" s="1160"/>
      <c r="Q133" s="1160"/>
      <c r="R133" s="1160"/>
      <c r="S133" s="1636"/>
      <c r="T133" s="1160"/>
      <c r="U133" s="1160"/>
      <c r="V133" s="544"/>
      <c r="W133" s="1160"/>
      <c r="X133" s="1160"/>
      <c r="Y133" s="1160"/>
      <c r="Z133" s="1160"/>
      <c r="AA133" s="1160"/>
      <c r="AB133" s="1632"/>
      <c r="AC133" s="566"/>
      <c r="AD133" s="566"/>
      <c r="AE133" s="566"/>
      <c r="AF133" s="566"/>
      <c r="AG133" s="1641">
        <v>11</v>
      </c>
    </row>
    <row s="1641" customFormat="1" customHeight="1" ht="11.549999999999999">
      <c r="A134" s="987"/>
      <c r="B134" s="1636"/>
      <c r="C134" s="1636"/>
      <c r="D134" s="351"/>
      <c r="J134" s="1641"/>
      <c r="L134" s="1160"/>
      <c r="M134" s="1636"/>
      <c r="N134" s="1636"/>
      <c r="O134" s="1160"/>
      <c r="P134" s="1160"/>
      <c r="Q134" s="1160"/>
      <c r="R134" s="1160"/>
      <c r="S134" s="1636"/>
      <c r="T134" s="1160"/>
      <c r="U134" s="1160"/>
      <c r="V134" s="544"/>
      <c r="W134" s="1160"/>
      <c r="X134" s="1160"/>
      <c r="Y134" s="1160"/>
      <c r="Z134" s="1160"/>
      <c r="AA134" s="1160"/>
      <c r="AB134" s="1632"/>
      <c r="AC134" s="566"/>
      <c r="AD134" s="566"/>
      <c r="AE134" s="566"/>
      <c r="AF134" s="566"/>
      <c r="AG134" s="1641">
        <v>11</v>
      </c>
    </row>
    <row s="1641" customFormat="1" customHeight="1" ht="11.549999999999999">
      <c r="A135" s="987"/>
      <c r="B135" s="1636"/>
      <c r="C135" s="1636"/>
      <c r="D135" s="351"/>
      <c r="J135" s="1641"/>
      <c r="L135" s="1160"/>
      <c r="M135" s="1636"/>
      <c r="N135" s="1636"/>
      <c r="O135" s="1160"/>
      <c r="P135" s="1160"/>
      <c r="Q135" s="1160"/>
      <c r="R135" s="1160"/>
      <c r="S135" s="1636"/>
      <c r="T135" s="1160"/>
      <c r="U135" s="1160"/>
      <c r="V135" s="544"/>
      <c r="W135" s="1160"/>
      <c r="X135" s="1160"/>
      <c r="Y135" s="1160"/>
      <c r="Z135" s="1160"/>
      <c r="AA135" s="1160"/>
      <c r="AB135" s="1632"/>
      <c r="AC135" s="566"/>
      <c r="AD135" s="566"/>
      <c r="AE135" s="566"/>
      <c r="AF135" s="566"/>
      <c r="AG135" s="1641">
        <v>11</v>
      </c>
    </row>
    <row s="1641" customFormat="1" customHeight="1" ht="11.549999999999999">
      <c r="A136" s="987"/>
      <c r="B136" s="1636"/>
      <c r="C136" s="1636"/>
      <c r="D136" s="351"/>
      <c r="J136" s="1641"/>
      <c r="L136" s="1160"/>
      <c r="M136" s="1636"/>
      <c r="N136" s="1636"/>
      <c r="O136" s="1160"/>
      <c r="P136" s="1160"/>
      <c r="Q136" s="1160"/>
      <c r="R136" s="1160"/>
      <c r="S136" s="1636"/>
      <c r="T136" s="1160"/>
      <c r="U136" s="1160"/>
      <c r="V136" s="544"/>
      <c r="W136" s="1160"/>
      <c r="X136" s="1160"/>
      <c r="Y136" s="1160"/>
      <c r="Z136" s="1160"/>
      <c r="AA136" s="1160"/>
      <c r="AB136" s="1632"/>
      <c r="AC136" s="566"/>
      <c r="AD136" s="566"/>
      <c r="AE136" s="566"/>
      <c r="AF136" s="566"/>
      <c r="AG136" s="1641">
        <v>11</v>
      </c>
    </row>
    <row s="1641" customFormat="1" customHeight="1" ht="11.549999999999999">
      <c r="A137" s="987"/>
      <c r="B137" s="1636"/>
      <c r="C137" s="1636"/>
      <c r="D137" s="351"/>
      <c r="J137" s="1641"/>
      <c r="L137" s="1160"/>
      <c r="M137" s="1636"/>
      <c r="N137" s="1636"/>
      <c r="O137" s="1160"/>
      <c r="P137" s="1160"/>
      <c r="Q137" s="1160"/>
      <c r="R137" s="1160"/>
      <c r="S137" s="1636"/>
      <c r="T137" s="1160"/>
      <c r="U137" s="1160"/>
      <c r="V137" s="544"/>
      <c r="W137" s="1160"/>
      <c r="X137" s="1160"/>
      <c r="Y137" s="1160"/>
      <c r="Z137" s="1160"/>
      <c r="AA137" s="1160"/>
      <c r="AB137" s="1632"/>
      <c r="AC137" s="566"/>
      <c r="AD137" s="566"/>
      <c r="AE137" s="566"/>
      <c r="AF137" s="566"/>
      <c r="AG137" s="1641">
        <v>11</v>
      </c>
    </row>
    <row s="1641" customFormat="1" customHeight="1" ht="11.549999999999999">
      <c r="A138" s="987"/>
      <c r="B138" s="1636"/>
      <c r="C138" s="1636"/>
      <c r="D138" s="351"/>
      <c r="J138" s="1641"/>
      <c r="L138" s="1160"/>
      <c r="M138" s="1636"/>
      <c r="N138" s="1636"/>
      <c r="O138" s="1160"/>
      <c r="P138" s="1160"/>
      <c r="Q138" s="1160"/>
      <c r="R138" s="1160"/>
      <c r="S138" s="1636"/>
      <c r="T138" s="1160"/>
      <c r="U138" s="1160"/>
      <c r="V138" s="544"/>
      <c r="W138" s="1160"/>
      <c r="X138" s="1160"/>
      <c r="Y138" s="1160"/>
      <c r="Z138" s="1160"/>
      <c r="AA138" s="1160"/>
      <c r="AB138" s="1632"/>
      <c r="AC138" s="566"/>
      <c r="AD138" s="566"/>
      <c r="AE138" s="566"/>
      <c r="AF138" s="566"/>
      <c r="AG138" s="1641">
        <v>11</v>
      </c>
    </row>
    <row s="1641" customFormat="1" customHeight="1" ht="11.549999999999999">
      <c r="A139" s="987"/>
      <c r="B139" s="1636"/>
      <c r="C139" s="1636"/>
      <c r="D139" s="351"/>
      <c r="J139" s="1641"/>
      <c r="L139" s="1160"/>
      <c r="M139" s="1636"/>
      <c r="N139" s="1636"/>
      <c r="O139" s="1160"/>
      <c r="P139" s="1160"/>
      <c r="Q139" s="1160"/>
      <c r="R139" s="1160"/>
      <c r="S139" s="1636"/>
      <c r="T139" s="1160"/>
      <c r="U139" s="1160"/>
      <c r="V139" s="544"/>
      <c r="W139" s="1160"/>
      <c r="X139" s="1160"/>
      <c r="Y139" s="1160"/>
      <c r="Z139" s="1160"/>
      <c r="AA139" s="1160"/>
      <c r="AB139" s="1632"/>
      <c r="AC139" s="566"/>
      <c r="AD139" s="566"/>
      <c r="AE139" s="566"/>
      <c r="AF139" s="566"/>
      <c r="AG139" s="1641">
        <v>11</v>
      </c>
    </row>
    <row s="1641" customFormat="1" customHeight="1" ht="11.549999999999999">
      <c r="A140" s="987"/>
      <c r="B140" s="1636"/>
      <c r="C140" s="1636"/>
      <c r="D140" s="351"/>
      <c r="J140" s="1641"/>
      <c r="L140" s="1160"/>
      <c r="M140" s="1636"/>
      <c r="N140" s="1636"/>
      <c r="O140" s="1160"/>
      <c r="P140" s="1160"/>
      <c r="Q140" s="1160"/>
      <c r="R140" s="1160"/>
      <c r="S140" s="1636"/>
      <c r="T140" s="1160"/>
      <c r="U140" s="1160"/>
      <c r="V140" s="544"/>
      <c r="W140" s="1160"/>
      <c r="X140" s="1160"/>
      <c r="Y140" s="1160"/>
      <c r="Z140" s="1160"/>
      <c r="AA140" s="1160"/>
      <c r="AB140" s="1632"/>
      <c r="AC140" s="566"/>
      <c r="AD140" s="566"/>
      <c r="AE140" s="566"/>
      <c r="AF140" s="566"/>
      <c r="AG140" s="1641">
        <v>11</v>
      </c>
    </row>
    <row s="1641" customFormat="1" customHeight="1" ht="11.549999999999999">
      <c r="A141" s="987"/>
      <c r="B141" s="1636"/>
      <c r="C141" s="1636"/>
      <c r="D141" s="351"/>
      <c r="J141" s="1641"/>
      <c r="L141" s="1160"/>
      <c r="M141" s="1636"/>
      <c r="N141" s="1636"/>
      <c r="O141" s="1160"/>
      <c r="P141" s="1160"/>
      <c r="Q141" s="1160"/>
      <c r="R141" s="1160"/>
      <c r="S141" s="1636"/>
      <c r="T141" s="1160"/>
      <c r="U141" s="1160"/>
      <c r="V141" s="544"/>
      <c r="W141" s="1160"/>
      <c r="X141" s="1160"/>
      <c r="Y141" s="1160"/>
      <c r="Z141" s="1160"/>
      <c r="AA141" s="1160"/>
      <c r="AB141" s="1632"/>
      <c r="AC141" s="566"/>
      <c r="AD141" s="566"/>
      <c r="AE141" s="566"/>
      <c r="AF141" s="566"/>
      <c r="AG141" s="1641">
        <v>11</v>
      </c>
    </row>
    <row s="1641" customFormat="1" customHeight="1" ht="11.549999999999999">
      <c r="A142" s="987"/>
      <c r="B142" s="1636"/>
      <c r="C142" s="1636"/>
      <c r="D142" s="351"/>
      <c r="J142" s="1641"/>
      <c r="L142" s="1160"/>
      <c r="M142" s="1636"/>
      <c r="N142" s="1636"/>
      <c r="O142" s="1160"/>
      <c r="P142" s="1160"/>
      <c r="Q142" s="1160"/>
      <c r="R142" s="1160"/>
      <c r="S142" s="1636"/>
      <c r="T142" s="1160"/>
      <c r="U142" s="1160"/>
      <c r="V142" s="544"/>
      <c r="W142" s="1160"/>
      <c r="X142" s="1160"/>
      <c r="Y142" s="1160"/>
      <c r="Z142" s="1160"/>
      <c r="AA142" s="1160"/>
      <c r="AB142" s="1632"/>
      <c r="AC142" s="566"/>
      <c r="AD142" s="566"/>
      <c r="AE142" s="566"/>
      <c r="AF142" s="566"/>
      <c r="AG142" s="1641">
        <v>11</v>
      </c>
    </row>
    <row s="1641" customFormat="1" customHeight="1" ht="11.549999999999999">
      <c r="A143" s="987"/>
      <c r="B143" s="1636"/>
      <c r="C143" s="1636"/>
      <c r="D143" s="351"/>
      <c r="J143" s="1641"/>
      <c r="L143" s="1160"/>
      <c r="M143" s="1636"/>
      <c r="N143" s="1636"/>
      <c r="O143" s="1160"/>
      <c r="P143" s="1160"/>
      <c r="Q143" s="1160"/>
      <c r="R143" s="1160"/>
      <c r="S143" s="1636"/>
      <c r="T143" s="1160"/>
      <c r="U143" s="1160"/>
      <c r="V143" s="544"/>
      <c r="W143" s="1160"/>
      <c r="X143" s="1160"/>
      <c r="Y143" s="1160"/>
      <c r="Z143" s="1160"/>
      <c r="AA143" s="1160"/>
      <c r="AB143" s="1632"/>
      <c r="AC143" s="566"/>
      <c r="AD143" s="566"/>
      <c r="AE143" s="566"/>
      <c r="AF143" s="566"/>
      <c r="AG143" s="1641">
        <v>11</v>
      </c>
    </row>
    <row s="1641" customFormat="1" customHeight="1" ht="11.549999999999999">
      <c r="A144" s="987"/>
      <c r="B144" s="1636"/>
      <c r="C144" s="1636"/>
      <c r="D144" s="351"/>
      <c r="J144" s="1641"/>
      <c r="L144" s="1160"/>
      <c r="M144" s="1636"/>
      <c r="N144" s="1636"/>
      <c r="O144" s="1160"/>
      <c r="P144" s="1160"/>
      <c r="Q144" s="1160"/>
      <c r="R144" s="1160"/>
      <c r="S144" s="1636"/>
      <c r="T144" s="1160"/>
      <c r="U144" s="1160"/>
      <c r="V144" s="544"/>
      <c r="W144" s="1160"/>
      <c r="X144" s="1160"/>
      <c r="Y144" s="1160"/>
      <c r="Z144" s="1160"/>
      <c r="AA144" s="1160"/>
      <c r="AB144" s="1632"/>
      <c r="AC144" s="566"/>
      <c r="AD144" s="566"/>
      <c r="AE144" s="566"/>
      <c r="AF144" s="566"/>
      <c r="AG144" s="1641">
        <v>11</v>
      </c>
    </row>
    <row s="1641" customFormat="1" customHeight="1" ht="11.549999999999999">
      <c r="A145" s="987"/>
      <c r="B145" s="1636"/>
      <c r="C145" s="1636"/>
      <c r="D145" s="351"/>
      <c r="J145" s="1641"/>
      <c r="L145" s="1160"/>
      <c r="M145" s="1636"/>
      <c r="N145" s="1636"/>
      <c r="O145" s="1160"/>
      <c r="P145" s="1160"/>
      <c r="Q145" s="1160"/>
      <c r="R145" s="1160"/>
      <c r="S145" s="1636"/>
      <c r="T145" s="1160"/>
      <c r="U145" s="1160"/>
      <c r="V145" s="544"/>
      <c r="W145" s="1160"/>
      <c r="X145" s="1160"/>
      <c r="Y145" s="1160"/>
      <c r="Z145" s="1160"/>
      <c r="AA145" s="1160"/>
      <c r="AB145" s="1632"/>
      <c r="AC145" s="566"/>
      <c r="AD145" s="566"/>
      <c r="AE145" s="566"/>
      <c r="AF145" s="566"/>
      <c r="AG145" s="1641">
        <v>11</v>
      </c>
    </row>
    <row s="1641" customFormat="1" customHeight="1" ht="11.549999999999999">
      <c r="A146" s="987"/>
      <c r="B146" s="1636"/>
      <c r="C146" s="1636"/>
      <c r="D146" s="351"/>
      <c r="J146" s="1641"/>
      <c r="L146" s="1160"/>
      <c r="M146" s="1636"/>
      <c r="N146" s="1636"/>
      <c r="O146" s="1160"/>
      <c r="P146" s="1160"/>
      <c r="Q146" s="1160"/>
      <c r="R146" s="1160"/>
      <c r="S146" s="1636"/>
      <c r="T146" s="1160"/>
      <c r="U146" s="1160"/>
      <c r="V146" s="544"/>
      <c r="W146" s="1160"/>
      <c r="X146" s="1160"/>
      <c r="Y146" s="1160"/>
      <c r="Z146" s="1160"/>
      <c r="AA146" s="1160"/>
      <c r="AB146" s="1632"/>
      <c r="AC146" s="566"/>
      <c r="AD146" s="566"/>
      <c r="AE146" s="566"/>
      <c r="AF146" s="566"/>
      <c r="AG146" s="1641">
        <v>11</v>
      </c>
    </row>
    <row s="1641" customFormat="1" customHeight="1" ht="11.549999999999999">
      <c r="A147" s="987"/>
      <c r="B147" s="1636"/>
      <c r="C147" s="1636"/>
      <c r="D147" s="351"/>
      <c r="J147" s="1641"/>
      <c r="L147" s="1160"/>
      <c r="M147" s="1636"/>
      <c r="N147" s="1636"/>
      <c r="O147" s="1160"/>
      <c r="P147" s="1160"/>
      <c r="Q147" s="1160"/>
      <c r="R147" s="1160"/>
      <c r="S147" s="1636"/>
      <c r="T147" s="1160"/>
      <c r="U147" s="1160"/>
      <c r="V147" s="544"/>
      <c r="W147" s="1160"/>
      <c r="X147" s="1160"/>
      <c r="Y147" s="1160"/>
      <c r="Z147" s="1160"/>
      <c r="AA147" s="1160"/>
      <c r="AB147" s="1632"/>
      <c r="AC147" s="566"/>
      <c r="AD147" s="566"/>
      <c r="AE147" s="566"/>
      <c r="AF147" s="566"/>
      <c r="AG147" s="1641">
        <v>11</v>
      </c>
    </row>
    <row s="1641" customFormat="1" customHeight="1" ht="11.549999999999999">
      <c r="A148" s="987"/>
      <c r="B148" s="1636"/>
      <c r="C148" s="1636"/>
      <c r="D148" s="351"/>
      <c r="J148" s="1641"/>
      <c r="L148" s="1160"/>
      <c r="M148" s="1636"/>
      <c r="N148" s="1636"/>
      <c r="O148" s="1160"/>
      <c r="P148" s="1160"/>
      <c r="Q148" s="1160"/>
      <c r="R148" s="1160"/>
      <c r="S148" s="1636"/>
      <c r="T148" s="1160"/>
      <c r="U148" s="1160"/>
      <c r="V148" s="544"/>
      <c r="W148" s="1160"/>
      <c r="X148" s="1160"/>
      <c r="Y148" s="1160"/>
      <c r="Z148" s="1160"/>
      <c r="AA148" s="1160"/>
      <c r="AB148" s="1632"/>
      <c r="AC148" s="566"/>
      <c r="AD148" s="566"/>
      <c r="AE148" s="566"/>
      <c r="AF148" s="566"/>
      <c r="AG148" s="1641">
        <v>11</v>
      </c>
    </row>
    <row s="1641" customFormat="1" customHeight="1" ht="11.549999999999999">
      <c r="A149" s="987"/>
      <c r="B149" s="1636"/>
      <c r="C149" s="1636"/>
      <c r="D149" s="351"/>
      <c r="J149" s="1641"/>
      <c r="L149" s="1160"/>
      <c r="M149" s="1636"/>
      <c r="N149" s="1636"/>
      <c r="O149" s="1160"/>
      <c r="P149" s="1160"/>
      <c r="Q149" s="1160"/>
      <c r="R149" s="1160"/>
      <c r="S149" s="1636"/>
      <c r="T149" s="1160"/>
      <c r="U149" s="1160"/>
      <c r="V149" s="544"/>
      <c r="W149" s="1160"/>
      <c r="X149" s="1160"/>
      <c r="Y149" s="1160"/>
      <c r="Z149" s="1160"/>
      <c r="AA149" s="1160"/>
      <c r="AB149" s="1632"/>
      <c r="AC149" s="566"/>
      <c r="AD149" s="566"/>
      <c r="AE149" s="566"/>
      <c r="AF149" s="566"/>
      <c r="AG149" s="1641">
        <v>11</v>
      </c>
    </row>
    <row s="1641" customFormat="1" customHeight="1" ht="11.549999999999999">
      <c r="A150" s="987"/>
      <c r="B150" s="1636"/>
      <c r="C150" s="1636"/>
      <c r="D150" s="351"/>
      <c r="J150" s="1641"/>
      <c r="L150" s="1160"/>
      <c r="M150" s="1636"/>
      <c r="N150" s="1636"/>
      <c r="O150" s="1160"/>
      <c r="P150" s="1160"/>
      <c r="Q150" s="1160"/>
      <c r="R150" s="1160"/>
      <c r="S150" s="1636"/>
      <c r="T150" s="1160"/>
      <c r="U150" s="1160"/>
      <c r="V150" s="544"/>
      <c r="W150" s="1160"/>
      <c r="X150" s="1160"/>
      <c r="Y150" s="1160"/>
      <c r="Z150" s="1160"/>
      <c r="AA150" s="1160"/>
      <c r="AB150" s="1632"/>
      <c r="AC150" s="566"/>
      <c r="AD150" s="566"/>
      <c r="AE150" s="566"/>
      <c r="AF150" s="566"/>
      <c r="AG150" s="1641">
        <v>11</v>
      </c>
    </row>
    <row s="1641" customFormat="1" customHeight="1" ht="11.549999999999999">
      <c r="A151" s="987"/>
      <c r="B151" s="1636"/>
      <c r="C151" s="1636"/>
      <c r="D151" s="351"/>
      <c r="J151" s="1641"/>
      <c r="L151" s="1160"/>
      <c r="M151" s="1636"/>
      <c r="N151" s="1636"/>
      <c r="O151" s="1160"/>
      <c r="P151" s="1160"/>
      <c r="Q151" s="1160"/>
      <c r="R151" s="1160"/>
      <c r="S151" s="1636"/>
      <c r="T151" s="1160"/>
      <c r="U151" s="1160"/>
      <c r="V151" s="544"/>
      <c r="W151" s="1160"/>
      <c r="X151" s="1160"/>
      <c r="Y151" s="1160"/>
      <c r="Z151" s="1160"/>
      <c r="AA151" s="1160"/>
      <c r="AB151" s="1632"/>
      <c r="AC151" s="566"/>
      <c r="AD151" s="566"/>
      <c r="AE151" s="566"/>
      <c r="AF151" s="566"/>
      <c r="AG151" s="1641">
        <v>11</v>
      </c>
    </row>
    <row s="1641" customFormat="1" customHeight="1" ht="11.549999999999999">
      <c r="A152" s="987"/>
      <c r="B152" s="1636"/>
      <c r="C152" s="1636"/>
      <c r="D152" s="351"/>
      <c r="J152" s="1641"/>
      <c r="L152" s="1160"/>
      <c r="M152" s="1636"/>
      <c r="N152" s="1636"/>
      <c r="O152" s="1160"/>
      <c r="P152" s="1160"/>
      <c r="Q152" s="1160"/>
      <c r="R152" s="1160"/>
      <c r="S152" s="1636"/>
      <c r="T152" s="1160"/>
      <c r="U152" s="1160"/>
      <c r="V152" s="544"/>
      <c r="W152" s="1160"/>
      <c r="X152" s="1160"/>
      <c r="Y152" s="1160"/>
      <c r="Z152" s="1160"/>
      <c r="AA152" s="1160"/>
      <c r="AB152" s="1632"/>
      <c r="AC152" s="566"/>
      <c r="AD152" s="566"/>
      <c r="AE152" s="566"/>
      <c r="AF152" s="566"/>
      <c r="AG152" s="1641">
        <v>11</v>
      </c>
    </row>
    <row s="1641" customFormat="1" customHeight="1" ht="11.549999999999999">
      <c r="A153" s="987"/>
      <c r="B153" s="1636"/>
      <c r="C153" s="1636"/>
      <c r="D153" s="351"/>
      <c r="J153" s="1641"/>
      <c r="L153" s="1160"/>
      <c r="M153" s="1636"/>
      <c r="N153" s="1636"/>
      <c r="O153" s="1160"/>
      <c r="P153" s="1160"/>
      <c r="Q153" s="1160"/>
      <c r="R153" s="1160"/>
      <c r="S153" s="1636"/>
      <c r="T153" s="1160"/>
      <c r="U153" s="1160"/>
      <c r="V153" s="544"/>
      <c r="W153" s="1160"/>
      <c r="X153" s="1160"/>
      <c r="Y153" s="1160"/>
      <c r="Z153" s="1160"/>
      <c r="AA153" s="1160"/>
      <c r="AB153" s="1632"/>
      <c r="AC153" s="566"/>
      <c r="AD153" s="566"/>
      <c r="AE153" s="566"/>
      <c r="AF153" s="566"/>
      <c r="AG153" s="1641">
        <v>11</v>
      </c>
    </row>
    <row s="1641" customFormat="1" customHeight="1" ht="11.549999999999999">
      <c r="A154" s="987"/>
      <c r="B154" s="1636"/>
      <c r="C154" s="1636"/>
      <c r="D154" s="351"/>
      <c r="J154" s="1641"/>
      <c r="L154" s="1160"/>
      <c r="M154" s="1636"/>
      <c r="N154" s="1636"/>
      <c r="O154" s="1160"/>
      <c r="P154" s="1160"/>
      <c r="Q154" s="1160"/>
      <c r="R154" s="1160"/>
      <c r="S154" s="1636"/>
      <c r="T154" s="1160"/>
      <c r="U154" s="1160"/>
      <c r="V154" s="544"/>
      <c r="W154" s="1160"/>
      <c r="X154" s="1160"/>
      <c r="Y154" s="1160"/>
      <c r="Z154" s="1160"/>
      <c r="AA154" s="1160"/>
      <c r="AB154" s="1632"/>
      <c r="AC154" s="566"/>
      <c r="AD154" s="566"/>
      <c r="AE154" s="566"/>
      <c r="AF154" s="566"/>
      <c r="AG154" s="1641">
        <v>11</v>
      </c>
    </row>
    <row s="1641" customFormat="1" customHeight="1" ht="11.549999999999999">
      <c r="A155" s="987"/>
      <c r="B155" s="1636"/>
      <c r="C155" s="1636"/>
      <c r="D155" s="351"/>
      <c r="J155" s="1641"/>
      <c r="L155" s="1160"/>
      <c r="M155" s="1636"/>
      <c r="N155" s="1636"/>
      <c r="O155" s="1160"/>
      <c r="P155" s="1160"/>
      <c r="Q155" s="1160"/>
      <c r="R155" s="1160"/>
      <c r="S155" s="1636"/>
      <c r="T155" s="1160"/>
      <c r="U155" s="1160"/>
      <c r="V155" s="544"/>
      <c r="W155" s="1160"/>
      <c r="X155" s="1160"/>
      <c r="Y155" s="1160"/>
      <c r="Z155" s="1160"/>
      <c r="AA155" s="1160"/>
      <c r="AB155" s="1632"/>
      <c r="AC155" s="566"/>
      <c r="AD155" s="566"/>
      <c r="AE155" s="566"/>
      <c r="AF155" s="566"/>
      <c r="AG155" s="1641">
        <v>11</v>
      </c>
    </row>
    <row s="1641" customFormat="1" customHeight="1" ht="11.549999999999999">
      <c r="A156" s="987"/>
      <c r="B156" s="1636"/>
      <c r="C156" s="1636"/>
      <c r="D156" s="351"/>
      <c r="J156" s="1641"/>
      <c r="L156" s="1160"/>
      <c r="M156" s="1636"/>
      <c r="N156" s="1636"/>
      <c r="O156" s="1160"/>
      <c r="P156" s="1160"/>
      <c r="Q156" s="1160"/>
      <c r="R156" s="1160"/>
      <c r="S156" s="1636"/>
      <c r="T156" s="1160"/>
      <c r="U156" s="1160"/>
      <c r="V156" s="544"/>
      <c r="W156" s="1160"/>
      <c r="X156" s="1160"/>
      <c r="Y156" s="1160"/>
      <c r="Z156" s="1160"/>
      <c r="AA156" s="1160"/>
      <c r="AB156" s="1632"/>
      <c r="AC156" s="566"/>
      <c r="AD156" s="566"/>
      <c r="AE156" s="566"/>
      <c r="AF156" s="566"/>
      <c r="AG156" s="1641">
        <v>11</v>
      </c>
    </row>
    <row s="1641" customFormat="1" customHeight="1" ht="11.549999999999999">
      <c r="A157" s="987"/>
      <c r="B157" s="1636"/>
      <c r="C157" s="1636"/>
      <c r="D157" s="351"/>
      <c r="J157" s="1641"/>
      <c r="L157" s="1160"/>
      <c r="M157" s="1636"/>
      <c r="N157" s="1636"/>
      <c r="O157" s="1160"/>
      <c r="P157" s="1160"/>
      <c r="Q157" s="1160"/>
      <c r="R157" s="1160"/>
      <c r="S157" s="1636"/>
      <c r="T157" s="1160"/>
      <c r="U157" s="1160"/>
      <c r="V157" s="544"/>
      <c r="W157" s="1160"/>
      <c r="X157" s="1160"/>
      <c r="Y157" s="1160"/>
      <c r="Z157" s="1160"/>
      <c r="AA157" s="1160"/>
      <c r="AB157" s="1632"/>
      <c r="AC157" s="566"/>
      <c r="AD157" s="566"/>
      <c r="AE157" s="566"/>
      <c r="AF157" s="566"/>
      <c r="AG157" s="1641">
        <v>11</v>
      </c>
    </row>
    <row s="1641" customFormat="1" customHeight="1" ht="11.549999999999999">
      <c r="A158" s="987"/>
      <c r="B158" s="1636"/>
      <c r="C158" s="1636"/>
      <c r="D158" s="351"/>
      <c r="J158" s="1641"/>
      <c r="L158" s="1160"/>
      <c r="M158" s="1636"/>
      <c r="N158" s="1636"/>
      <c r="O158" s="1160"/>
      <c r="P158" s="1160"/>
      <c r="Q158" s="1160"/>
      <c r="R158" s="1160"/>
      <c r="S158" s="1636"/>
      <c r="T158" s="1160"/>
      <c r="U158" s="1160"/>
      <c r="V158" s="544"/>
      <c r="W158" s="1160"/>
      <c r="X158" s="1160"/>
      <c r="Y158" s="1160"/>
      <c r="Z158" s="1160"/>
      <c r="AA158" s="1160"/>
      <c r="AB158" s="1632"/>
      <c r="AC158" s="566"/>
      <c r="AD158" s="566"/>
      <c r="AE158" s="566"/>
      <c r="AF158" s="566"/>
      <c r="AG158" s="1641">
        <v>11</v>
      </c>
    </row>
    <row s="1641" customFormat="1" customHeight="1" ht="11.549999999999999">
      <c r="A159" s="987"/>
      <c r="B159" s="1636"/>
      <c r="C159" s="1636"/>
      <c r="D159" s="351"/>
      <c r="J159" s="1641"/>
      <c r="L159" s="1160"/>
      <c r="M159" s="1636"/>
      <c r="N159" s="1636"/>
      <c r="O159" s="1160"/>
      <c r="P159" s="1160"/>
      <c r="Q159" s="1160"/>
      <c r="R159" s="1160"/>
      <c r="S159" s="1636"/>
      <c r="T159" s="1160"/>
      <c r="U159" s="1160"/>
      <c r="V159" s="544"/>
      <c r="W159" s="1160"/>
      <c r="X159" s="1160"/>
      <c r="Y159" s="1160"/>
      <c r="Z159" s="1160"/>
      <c r="AA159" s="1160"/>
      <c r="AB159" s="1632"/>
      <c r="AC159" s="566"/>
      <c r="AD159" s="566"/>
      <c r="AE159" s="566"/>
      <c r="AF159" s="566"/>
      <c r="AG159" s="1641">
        <v>11</v>
      </c>
    </row>
    <row s="1641" customFormat="1" customHeight="1" ht="11.549999999999999">
      <c r="A160" s="987"/>
      <c r="B160" s="1636"/>
      <c r="C160" s="1636"/>
      <c r="D160" s="351"/>
      <c r="J160" s="1641"/>
      <c r="L160" s="1160"/>
      <c r="M160" s="1636"/>
      <c r="N160" s="1636"/>
      <c r="O160" s="1160"/>
      <c r="P160" s="1160"/>
      <c r="Q160" s="1160"/>
      <c r="R160" s="1160"/>
      <c r="S160" s="1636"/>
      <c r="T160" s="1160"/>
      <c r="U160" s="1160"/>
      <c r="V160" s="544"/>
      <c r="W160" s="1160"/>
      <c r="X160" s="1160"/>
      <c r="Y160" s="1160"/>
      <c r="Z160" s="1160"/>
      <c r="AA160" s="1160"/>
      <c r="AB160" s="1632"/>
      <c r="AC160" s="566"/>
      <c r="AD160" s="566"/>
      <c r="AE160" s="566"/>
      <c r="AF160" s="566"/>
      <c r="AG160" s="1641">
        <v>11</v>
      </c>
    </row>
    <row s="1641" customFormat="1" customHeight="1" ht="11.549999999999999">
      <c r="A161" s="987"/>
      <c r="B161" s="1636"/>
      <c r="C161" s="1636"/>
      <c r="D161" s="351"/>
      <c r="J161" s="1641"/>
      <c r="L161" s="1160"/>
      <c r="M161" s="1636"/>
      <c r="N161" s="1636"/>
      <c r="O161" s="1160"/>
      <c r="P161" s="1160"/>
      <c r="Q161" s="1160"/>
      <c r="R161" s="1160"/>
      <c r="S161" s="1636"/>
      <c r="T161" s="1160"/>
      <c r="U161" s="1160"/>
      <c r="V161" s="544"/>
      <c r="W161" s="1160"/>
      <c r="X161" s="1160"/>
      <c r="Y161" s="1160"/>
      <c r="Z161" s="1160"/>
      <c r="AA161" s="1160"/>
      <c r="AB161" s="1632"/>
      <c r="AC161" s="566"/>
      <c r="AD161" s="566"/>
      <c r="AE161" s="566"/>
      <c r="AF161" s="566"/>
      <c r="AG161" s="1641">
        <v>11</v>
      </c>
    </row>
    <row s="1641" customFormat="1" customHeight="1" ht="11.549999999999999">
      <c r="A162" s="987"/>
      <c r="B162" s="1636"/>
      <c r="C162" s="1636"/>
      <c r="D162" s="351"/>
      <c r="J162" s="1641"/>
      <c r="L162" s="1160"/>
      <c r="M162" s="1636"/>
      <c r="N162" s="1636"/>
      <c r="O162" s="1160"/>
      <c r="P162" s="1160"/>
      <c r="Q162" s="1160"/>
      <c r="R162" s="1160"/>
      <c r="S162" s="1636"/>
      <c r="T162" s="1160"/>
      <c r="U162" s="1160"/>
      <c r="V162" s="544"/>
      <c r="W162" s="1160"/>
      <c r="X162" s="1160"/>
      <c r="Y162" s="1160"/>
      <c r="Z162" s="1160"/>
      <c r="AA162" s="1160"/>
      <c r="AB162" s="1632"/>
      <c r="AC162" s="566"/>
      <c r="AD162" s="566"/>
      <c r="AE162" s="566"/>
      <c r="AF162" s="566"/>
      <c r="AG162" s="1641">
        <v>11</v>
      </c>
    </row>
    <row s="1641" customFormat="1" customHeight="1" ht="11.549999999999999">
      <c r="A163" s="987"/>
      <c r="B163" s="1636"/>
      <c r="C163" s="1636"/>
      <c r="D163" s="351"/>
      <c r="J163" s="1641"/>
      <c r="L163" s="1160"/>
      <c r="M163" s="1636"/>
      <c r="N163" s="1636"/>
      <c r="O163" s="1160"/>
      <c r="P163" s="1160"/>
      <c r="Q163" s="1160"/>
      <c r="R163" s="1160"/>
      <c r="S163" s="1636"/>
      <c r="T163" s="1160"/>
      <c r="U163" s="1160"/>
      <c r="V163" s="544"/>
      <c r="W163" s="1160"/>
      <c r="X163" s="1160"/>
      <c r="Y163" s="1160"/>
      <c r="Z163" s="1160"/>
      <c r="AA163" s="1160"/>
      <c r="AB163" s="1632"/>
      <c r="AC163" s="566"/>
      <c r="AD163" s="566"/>
      <c r="AE163" s="566"/>
      <c r="AF163" s="566"/>
      <c r="AG163" s="1641">
        <v>11</v>
      </c>
    </row>
    <row s="1641" customFormat="1" customHeight="1" ht="11.549999999999999">
      <c r="A164" s="987"/>
      <c r="B164" s="1636"/>
      <c r="C164" s="1636"/>
      <c r="D164" s="351"/>
      <c r="J164" s="1641"/>
      <c r="L164" s="1160"/>
      <c r="M164" s="1636"/>
      <c r="N164" s="1636"/>
      <c r="O164" s="1160"/>
      <c r="P164" s="1160"/>
      <c r="Q164" s="1160"/>
      <c r="R164" s="1160"/>
      <c r="S164" s="1636"/>
      <c r="T164" s="1160"/>
      <c r="U164" s="1160"/>
      <c r="V164" s="544"/>
      <c r="W164" s="1160"/>
      <c r="X164" s="1160"/>
      <c r="Y164" s="1160"/>
      <c r="Z164" s="1160"/>
      <c r="AA164" s="1160"/>
      <c r="AB164" s="1632"/>
      <c r="AC164" s="566"/>
      <c r="AD164" s="566"/>
      <c r="AE164" s="566"/>
      <c r="AF164" s="566"/>
      <c r="AG164" s="1641">
        <v>11</v>
      </c>
    </row>
    <row s="1641" customFormat="1" customHeight="1" ht="11.549999999999999">
      <c r="A165" s="987"/>
      <c r="B165" s="1636"/>
      <c r="C165" s="1636"/>
      <c r="D165" s="351"/>
      <c r="J165" s="1641"/>
      <c r="L165" s="1160"/>
      <c r="M165" s="1636"/>
      <c r="N165" s="1636"/>
      <c r="O165" s="1160"/>
      <c r="P165" s="1160"/>
      <c r="Q165" s="1160"/>
      <c r="R165" s="1160"/>
      <c r="S165" s="1636"/>
      <c r="T165" s="1160"/>
      <c r="U165" s="1160"/>
      <c r="V165" s="544"/>
      <c r="W165" s="1160"/>
      <c r="X165" s="1160"/>
      <c r="Y165" s="1160"/>
      <c r="Z165" s="1160"/>
      <c r="AA165" s="1160"/>
      <c r="AB165" s="1632"/>
      <c r="AC165" s="566"/>
      <c r="AD165" s="566"/>
      <c r="AE165" s="566"/>
      <c r="AF165" s="566"/>
      <c r="AG165" s="1641">
        <v>11</v>
      </c>
    </row>
    <row s="1641" customFormat="1" customHeight="1" ht="11.549999999999999">
      <c r="A166" s="987"/>
      <c r="B166" s="1636"/>
      <c r="C166" s="1636"/>
      <c r="D166" s="351"/>
      <c r="J166" s="1641"/>
      <c r="L166" s="1160"/>
      <c r="M166" s="1636"/>
      <c r="N166" s="1636"/>
      <c r="O166" s="1160"/>
      <c r="P166" s="1160"/>
      <c r="Q166" s="1160"/>
      <c r="R166" s="1160"/>
      <c r="S166" s="1636"/>
      <c r="T166" s="1160"/>
      <c r="U166" s="1160"/>
      <c r="V166" s="544"/>
      <c r="W166" s="1160"/>
      <c r="X166" s="1160"/>
      <c r="Y166" s="1160"/>
      <c r="Z166" s="1160"/>
      <c r="AA166" s="1160"/>
      <c r="AB166" s="1632"/>
      <c r="AC166" s="566"/>
      <c r="AD166" s="566"/>
      <c r="AE166" s="566"/>
      <c r="AF166" s="566"/>
      <c r="AG166" s="1641">
        <v>11</v>
      </c>
    </row>
    <row s="1641" customFormat="1" customHeight="1" ht="11.549999999999999">
      <c r="A167" s="987"/>
      <c r="B167" s="1636"/>
      <c r="C167" s="1636"/>
      <c r="D167" s="351"/>
      <c r="J167" s="1641"/>
      <c r="L167" s="1160"/>
      <c r="M167" s="1636"/>
      <c r="N167" s="1636"/>
      <c r="O167" s="1160"/>
      <c r="P167" s="1160"/>
      <c r="Q167" s="1160"/>
      <c r="R167" s="1160"/>
      <c r="S167" s="1636"/>
      <c r="T167" s="1160"/>
      <c r="U167" s="1160"/>
      <c r="V167" s="544"/>
      <c r="W167" s="1160"/>
      <c r="X167" s="1160"/>
      <c r="Y167" s="1160"/>
      <c r="Z167" s="1160"/>
      <c r="AA167" s="1160"/>
      <c r="AB167" s="1632"/>
      <c r="AC167" s="566"/>
      <c r="AD167" s="566"/>
      <c r="AE167" s="566"/>
      <c r="AF167" s="566"/>
      <c r="AG167" s="1641">
        <v>11</v>
      </c>
    </row>
    <row s="1641" customFormat="1" customHeight="1" ht="11.549999999999999">
      <c r="A168" s="987"/>
      <c r="B168" s="1636"/>
      <c r="C168" s="1636"/>
      <c r="D168" s="351"/>
      <c r="J168" s="1641"/>
      <c r="L168" s="1160"/>
      <c r="M168" s="1636"/>
      <c r="N168" s="1636"/>
      <c r="O168" s="1160"/>
      <c r="P168" s="1160"/>
      <c r="Q168" s="1160"/>
      <c r="R168" s="1160"/>
      <c r="S168" s="1636"/>
      <c r="T168" s="1160"/>
      <c r="U168" s="1160"/>
      <c r="V168" s="544"/>
      <c r="W168" s="1160"/>
      <c r="X168" s="1160"/>
      <c r="Y168" s="1160"/>
      <c r="Z168" s="1160"/>
      <c r="AA168" s="1160"/>
      <c r="AB168" s="1632"/>
      <c r="AC168" s="566"/>
      <c r="AD168" s="566"/>
      <c r="AE168" s="566"/>
      <c r="AF168" s="566"/>
      <c r="AG168" s="1641">
        <v>11</v>
      </c>
    </row>
    <row s="1641" customFormat="1" customHeight="1" ht="11.549999999999999">
      <c r="A169" s="987"/>
      <c r="B169" s="1636"/>
      <c r="C169" s="1636"/>
      <c r="D169" s="351"/>
      <c r="J169" s="1641"/>
      <c r="L169" s="1160"/>
      <c r="M169" s="1636"/>
      <c r="N169" s="1636"/>
      <c r="O169" s="1160"/>
      <c r="P169" s="1160"/>
      <c r="Q169" s="1160"/>
      <c r="R169" s="1160"/>
      <c r="S169" s="1636"/>
      <c r="T169" s="1160"/>
      <c r="U169" s="1160"/>
      <c r="V169" s="544"/>
      <c r="W169" s="1160"/>
      <c r="X169" s="1160"/>
      <c r="Y169" s="1160"/>
      <c r="Z169" s="1160"/>
      <c r="AA169" s="1160"/>
      <c r="AB169" s="1632"/>
      <c r="AC169" s="566"/>
      <c r="AD169" s="566"/>
      <c r="AE169" s="566"/>
      <c r="AF169" s="566"/>
      <c r="AG169" s="1641">
        <v>11</v>
      </c>
    </row>
    <row s="1641" customFormat="1" customHeight="1" ht="11.549999999999999">
      <c r="A170" s="987"/>
      <c r="B170" s="1636"/>
      <c r="C170" s="1636"/>
      <c r="D170" s="351"/>
      <c r="J170" s="1641"/>
      <c r="L170" s="1160"/>
      <c r="M170" s="1636"/>
      <c r="N170" s="1636"/>
      <c r="O170" s="1160"/>
      <c r="P170" s="1160"/>
      <c r="Q170" s="1160"/>
      <c r="R170" s="1160"/>
      <c r="S170" s="1636"/>
      <c r="T170" s="1160"/>
      <c r="U170" s="1160"/>
      <c r="V170" s="544"/>
      <c r="W170" s="1160"/>
      <c r="X170" s="1160"/>
      <c r="Y170" s="1160"/>
      <c r="Z170" s="1160"/>
      <c r="AA170" s="1160"/>
      <c r="AB170" s="1632"/>
      <c r="AC170" s="566"/>
      <c r="AD170" s="566"/>
      <c r="AE170" s="566"/>
      <c r="AF170" s="566"/>
      <c r="AG170" s="1641">
        <v>11</v>
      </c>
    </row>
    <row s="1641" customFormat="1" customHeight="1" ht="11.549999999999999">
      <c r="A171" s="987"/>
      <c r="B171" s="1636"/>
      <c r="C171" s="1636"/>
      <c r="D171" s="351"/>
      <c r="J171" s="1641"/>
      <c r="L171" s="1160"/>
      <c r="M171" s="1636"/>
      <c r="N171" s="1636"/>
      <c r="O171" s="1160"/>
      <c r="P171" s="1160"/>
      <c r="Q171" s="1160"/>
      <c r="R171" s="1160"/>
      <c r="S171" s="1636"/>
      <c r="T171" s="1160"/>
      <c r="U171" s="1160"/>
      <c r="V171" s="544"/>
      <c r="W171" s="1160"/>
      <c r="X171" s="1160"/>
      <c r="Y171" s="1160"/>
      <c r="Z171" s="1160"/>
      <c r="AA171" s="1160"/>
      <c r="AB171" s="1632"/>
      <c r="AC171" s="566"/>
      <c r="AD171" s="566"/>
      <c r="AE171" s="566"/>
      <c r="AF171" s="566"/>
      <c r="AG171" s="1641">
        <v>11</v>
      </c>
    </row>
    <row s="1641" customFormat="1" customHeight="1" ht="11.549999999999999">
      <c r="A172" s="987"/>
      <c r="B172" s="1636"/>
      <c r="C172" s="1636"/>
      <c r="D172" s="351"/>
      <c r="J172" s="1641"/>
      <c r="L172" s="1160"/>
      <c r="M172" s="1636"/>
      <c r="N172" s="1636"/>
      <c r="O172" s="1160"/>
      <c r="P172" s="1160"/>
      <c r="Q172" s="1160"/>
      <c r="R172" s="1160"/>
      <c r="S172" s="1636"/>
      <c r="T172" s="1160"/>
      <c r="U172" s="1160"/>
      <c r="V172" s="544"/>
      <c r="W172" s="1160"/>
      <c r="X172" s="1160"/>
      <c r="Y172" s="1160"/>
      <c r="Z172" s="1160"/>
      <c r="AA172" s="1160"/>
      <c r="AB172" s="1632"/>
      <c r="AC172" s="566"/>
      <c r="AD172" s="566"/>
      <c r="AE172" s="566"/>
      <c r="AF172" s="566"/>
      <c r="AG172" s="1641">
        <v>11</v>
      </c>
    </row>
    <row s="1641" customFormat="1" customHeight="1" ht="11.549999999999999">
      <c r="A173" s="987"/>
      <c r="B173" s="1636"/>
      <c r="C173" s="1636"/>
      <c r="D173" s="351"/>
      <c r="J173" s="1641"/>
      <c r="L173" s="1160"/>
      <c r="M173" s="1636"/>
      <c r="N173" s="1636"/>
      <c r="O173" s="1160"/>
      <c r="P173" s="1160"/>
      <c r="Q173" s="1160"/>
      <c r="R173" s="1160"/>
      <c r="S173" s="1636"/>
      <c r="T173" s="1160"/>
      <c r="U173" s="1160"/>
      <c r="V173" s="544"/>
      <c r="W173" s="1160"/>
      <c r="X173" s="1160"/>
      <c r="Y173" s="1160"/>
      <c r="Z173" s="1160"/>
      <c r="AA173" s="1160"/>
      <c r="AB173" s="1632"/>
      <c r="AC173" s="566"/>
      <c r="AD173" s="566"/>
      <c r="AE173" s="566"/>
      <c r="AF173" s="566"/>
      <c r="AG173" s="1641">
        <v>11</v>
      </c>
    </row>
    <row s="1641" customFormat="1" customHeight="1" ht="11.549999999999999">
      <c r="A174" s="987"/>
      <c r="B174" s="1636"/>
      <c r="C174" s="1636"/>
      <c r="D174" s="351"/>
      <c r="J174" s="1641"/>
      <c r="L174" s="1160"/>
      <c r="M174" s="1636"/>
      <c r="N174" s="1636"/>
      <c r="O174" s="1160"/>
      <c r="P174" s="1160"/>
      <c r="Q174" s="1160"/>
      <c r="R174" s="1160"/>
      <c r="S174" s="1636"/>
      <c r="T174" s="1160"/>
      <c r="U174" s="1160"/>
      <c r="V174" s="544"/>
      <c r="W174" s="1160"/>
      <c r="X174" s="1160"/>
      <c r="Y174" s="1160"/>
      <c r="Z174" s="1160"/>
      <c r="AA174" s="1160"/>
      <c r="AB174" s="1632"/>
      <c r="AC174" s="566"/>
      <c r="AD174" s="566"/>
      <c r="AE174" s="566"/>
      <c r="AF174" s="566"/>
      <c r="AG174" s="1641">
        <v>11</v>
      </c>
    </row>
    <row s="1641" customFormat="1" customHeight="1" ht="11.549999999999999">
      <c r="A175" s="987"/>
      <c r="B175" s="1636"/>
      <c r="C175" s="1636"/>
      <c r="D175" s="351"/>
      <c r="J175" s="1641"/>
      <c r="L175" s="1160"/>
      <c r="M175" s="1636"/>
      <c r="N175" s="1636"/>
      <c r="O175" s="1160"/>
      <c r="P175" s="1160"/>
      <c r="Q175" s="1160"/>
      <c r="R175" s="1160"/>
      <c r="S175" s="1636"/>
      <c r="T175" s="1160"/>
      <c r="U175" s="1160"/>
      <c r="V175" s="544"/>
      <c r="W175" s="1160"/>
      <c r="X175" s="1160"/>
      <c r="Y175" s="1160"/>
      <c r="Z175" s="1160"/>
      <c r="AA175" s="1160"/>
      <c r="AB175" s="1632"/>
      <c r="AC175" s="566"/>
      <c r="AD175" s="566"/>
      <c r="AE175" s="566"/>
      <c r="AF175" s="566"/>
      <c r="AG175" s="1641">
        <v>11</v>
      </c>
    </row>
    <row s="1641" customFormat="1" customHeight="1" ht="11.549999999999999">
      <c r="A176" s="987"/>
      <c r="B176" s="1636"/>
      <c r="C176" s="1636"/>
      <c r="D176" s="351"/>
      <c r="J176" s="1641"/>
      <c r="L176" s="1160"/>
      <c r="M176" s="1636"/>
      <c r="N176" s="1636"/>
      <c r="O176" s="1160"/>
      <c r="P176" s="1160"/>
      <c r="Q176" s="1160"/>
      <c r="R176" s="1160"/>
      <c r="S176" s="1636"/>
      <c r="T176" s="1160"/>
      <c r="U176" s="1160"/>
      <c r="V176" s="544"/>
      <c r="W176" s="1160"/>
      <c r="X176" s="1160"/>
      <c r="Y176" s="1160"/>
      <c r="Z176" s="1160"/>
      <c r="AA176" s="1160"/>
      <c r="AB176" s="1632"/>
      <c r="AC176" s="566"/>
      <c r="AD176" s="566"/>
      <c r="AE176" s="566"/>
      <c r="AF176" s="566"/>
      <c r="AG176" s="1641">
        <v>11</v>
      </c>
    </row>
    <row s="1641" customFormat="1" customHeight="1" ht="11.549999999999999">
      <c r="A177" s="987"/>
      <c r="B177" s="1636"/>
      <c r="C177" s="1636"/>
      <c r="D177" s="351"/>
      <c r="J177" s="1641"/>
      <c r="L177" s="1160"/>
      <c r="M177" s="1636"/>
      <c r="N177" s="1636"/>
      <c r="O177" s="1160"/>
      <c r="P177" s="1160"/>
      <c r="Q177" s="1160"/>
      <c r="R177" s="1160"/>
      <c r="S177" s="1636"/>
      <c r="T177" s="1160"/>
      <c r="U177" s="1160"/>
      <c r="V177" s="544"/>
      <c r="W177" s="1160"/>
      <c r="X177" s="1160"/>
      <c r="Y177" s="1160"/>
      <c r="Z177" s="1160"/>
      <c r="AA177" s="1160"/>
      <c r="AB177" s="1632"/>
      <c r="AC177" s="566"/>
      <c r="AD177" s="566"/>
      <c r="AE177" s="566"/>
      <c r="AF177" s="566"/>
      <c r="AG177" s="1641">
        <v>11</v>
      </c>
    </row>
    <row s="1641" customFormat="1" customHeight="1" ht="11.549999999999999">
      <c r="A178" s="987"/>
      <c r="B178" s="1636"/>
      <c r="C178" s="1636"/>
      <c r="D178" s="351"/>
      <c r="J178" s="1641"/>
      <c r="L178" s="1160"/>
      <c r="M178" s="1636"/>
      <c r="N178" s="1636"/>
      <c r="O178" s="1160"/>
      <c r="P178" s="1160"/>
      <c r="Q178" s="1160"/>
      <c r="R178" s="1160"/>
      <c r="S178" s="1636"/>
      <c r="T178" s="1160"/>
      <c r="U178" s="1160"/>
      <c r="V178" s="544"/>
      <c r="W178" s="1160"/>
      <c r="X178" s="1160"/>
      <c r="Y178" s="1160"/>
      <c r="Z178" s="1160"/>
      <c r="AA178" s="1160"/>
      <c r="AB178" s="1632"/>
      <c r="AC178" s="566"/>
      <c r="AD178" s="566"/>
      <c r="AE178" s="566"/>
      <c r="AF178" s="566"/>
      <c r="AG178" s="1641">
        <v>11</v>
      </c>
    </row>
    <row s="1641" customFormat="1" customHeight="1" ht="11.549999999999999">
      <c r="A179" s="987"/>
      <c r="B179" s="1636"/>
      <c r="C179" s="1636"/>
      <c r="D179" s="351"/>
      <c r="J179" s="1641"/>
      <c r="L179" s="1160"/>
      <c r="M179" s="1636"/>
      <c r="N179" s="1636"/>
      <c r="O179" s="1160"/>
      <c r="P179" s="1160"/>
      <c r="Q179" s="1160"/>
      <c r="R179" s="1160"/>
      <c r="S179" s="1636"/>
      <c r="T179" s="1160"/>
      <c r="U179" s="1160"/>
      <c r="V179" s="544"/>
      <c r="W179" s="1160"/>
      <c r="X179" s="1160"/>
      <c r="Y179" s="1160"/>
      <c r="Z179" s="1160"/>
      <c r="AA179" s="1160"/>
      <c r="AB179" s="1632"/>
      <c r="AC179" s="566"/>
      <c r="AD179" s="566"/>
      <c r="AE179" s="566"/>
      <c r="AF179" s="566"/>
      <c r="AG179" s="1641">
        <v>11</v>
      </c>
    </row>
    <row s="1641" customFormat="1" customHeight="1" ht="11.549999999999999">
      <c r="A180" s="987"/>
      <c r="B180" s="1636"/>
      <c r="C180" s="1636"/>
      <c r="D180" s="351"/>
      <c r="J180" s="1641"/>
      <c r="L180" s="1160"/>
      <c r="M180" s="1636"/>
      <c r="N180" s="1636"/>
      <c r="O180" s="1160"/>
      <c r="P180" s="1160"/>
      <c r="Q180" s="1160"/>
      <c r="R180" s="1160"/>
      <c r="S180" s="1636"/>
      <c r="T180" s="1160"/>
      <c r="U180" s="1160"/>
      <c r="V180" s="544"/>
      <c r="W180" s="1160"/>
      <c r="X180" s="1160"/>
      <c r="Y180" s="1160"/>
      <c r="Z180" s="1160"/>
      <c r="AA180" s="1160"/>
      <c r="AB180" s="1632"/>
      <c r="AC180" s="566"/>
      <c r="AD180" s="566"/>
      <c r="AE180" s="566"/>
      <c r="AF180" s="566"/>
      <c r="AG180" s="1641">
        <v>11</v>
      </c>
    </row>
    <row s="1641" customFormat="1" customHeight="1" ht="11.549999999999999">
      <c r="A181" s="987"/>
      <c r="B181" s="1636"/>
      <c r="C181" s="1636"/>
      <c r="D181" s="351"/>
      <c r="J181" s="1641"/>
      <c r="L181" s="1160"/>
      <c r="M181" s="1636"/>
      <c r="N181" s="1636"/>
      <c r="O181" s="1160"/>
      <c r="P181" s="1160"/>
      <c r="Q181" s="1160"/>
      <c r="R181" s="1160"/>
      <c r="S181" s="1636"/>
      <c r="T181" s="1160"/>
      <c r="U181" s="1160"/>
      <c r="V181" s="544"/>
      <c r="W181" s="1160"/>
      <c r="X181" s="1160"/>
      <c r="Y181" s="1160"/>
      <c r="Z181" s="1160"/>
      <c r="AA181" s="1160"/>
      <c r="AB181" s="1632"/>
      <c r="AC181" s="566"/>
      <c r="AD181" s="566"/>
      <c r="AE181" s="566"/>
      <c r="AF181" s="566"/>
      <c r="AG181" s="1641">
        <v>11</v>
      </c>
    </row>
    <row s="1641" customFormat="1" customHeight="1" ht="11.549999999999999">
      <c r="A182" s="987"/>
      <c r="B182" s="1636"/>
      <c r="C182" s="1636"/>
      <c r="D182" s="351"/>
      <c r="J182" s="1641"/>
      <c r="L182" s="1160"/>
      <c r="M182" s="1636"/>
      <c r="N182" s="1636"/>
      <c r="O182" s="1160"/>
      <c r="P182" s="1160"/>
      <c r="Q182" s="1160"/>
      <c r="R182" s="1160"/>
      <c r="S182" s="1636"/>
      <c r="T182" s="1160"/>
      <c r="U182" s="1160"/>
      <c r="V182" s="544"/>
      <c r="W182" s="1160"/>
      <c r="X182" s="1160"/>
      <c r="Y182" s="1160"/>
      <c r="Z182" s="1160"/>
      <c r="AA182" s="1160"/>
      <c r="AB182" s="1632"/>
      <c r="AC182" s="566"/>
      <c r="AD182" s="566"/>
      <c r="AE182" s="566"/>
      <c r="AF182" s="566"/>
      <c r="AG182" s="1641">
        <v>11</v>
      </c>
    </row>
    <row s="1641" customFormat="1" customHeight="1" ht="11.549999999999999">
      <c r="A183" s="987"/>
      <c r="B183" s="1636"/>
      <c r="C183" s="1636"/>
      <c r="D183" s="351"/>
      <c r="J183" s="1641"/>
      <c r="L183" s="1160"/>
      <c r="M183" s="1636"/>
      <c r="N183" s="1636"/>
      <c r="O183" s="1160"/>
      <c r="P183" s="1160"/>
      <c r="Q183" s="1160"/>
      <c r="R183" s="1160"/>
      <c r="S183" s="1636"/>
      <c r="T183" s="1160"/>
      <c r="U183" s="1160"/>
      <c r="V183" s="544"/>
      <c r="W183" s="1160"/>
      <c r="X183" s="1160"/>
      <c r="Y183" s="1160"/>
      <c r="Z183" s="1160"/>
      <c r="AA183" s="1160"/>
      <c r="AB183" s="1632"/>
      <c r="AC183" s="566"/>
      <c r="AD183" s="566"/>
      <c r="AE183" s="566"/>
      <c r="AF183" s="566"/>
      <c r="AG183" s="1641">
        <v>11</v>
      </c>
    </row>
    <row s="1641" customFormat="1" customHeight="1" ht="11.549999999999999">
      <c r="A184" s="987"/>
      <c r="B184" s="1636"/>
      <c r="C184" s="1636"/>
      <c r="D184" s="351"/>
      <c r="J184" s="1641"/>
      <c r="L184" s="1160"/>
      <c r="M184" s="1636"/>
      <c r="N184" s="1636"/>
      <c r="O184" s="1160"/>
      <c r="P184" s="1160"/>
      <c r="Q184" s="1160"/>
      <c r="R184" s="1160"/>
      <c r="S184" s="1636"/>
      <c r="T184" s="1160"/>
      <c r="U184" s="1160"/>
      <c r="V184" s="544"/>
      <c r="W184" s="1160"/>
      <c r="X184" s="1160"/>
      <c r="Y184" s="1160"/>
      <c r="Z184" s="1160"/>
      <c r="AA184" s="1160"/>
      <c r="AB184" s="1632"/>
      <c r="AC184" s="566"/>
      <c r="AD184" s="566"/>
      <c r="AE184" s="566"/>
      <c r="AF184" s="566"/>
      <c r="AG184" s="1641">
        <v>11</v>
      </c>
    </row>
    <row s="1641" customFormat="1" customHeight="1" ht="11.549999999999999">
      <c r="A185" s="987"/>
      <c r="B185" s="1636"/>
      <c r="C185" s="1636"/>
      <c r="D185" s="351"/>
      <c r="J185" s="1641"/>
      <c r="L185" s="1160"/>
      <c r="M185" s="1636"/>
      <c r="N185" s="1636"/>
      <c r="O185" s="1160"/>
      <c r="P185" s="1160"/>
      <c r="Q185" s="1160"/>
      <c r="R185" s="1160"/>
      <c r="S185" s="1636"/>
      <c r="T185" s="1160"/>
      <c r="U185" s="1160"/>
      <c r="V185" s="544"/>
      <c r="W185" s="1160"/>
      <c r="X185" s="1160"/>
      <c r="Y185" s="1160"/>
      <c r="Z185" s="1160"/>
      <c r="AA185" s="1160"/>
      <c r="AB185" s="1632"/>
      <c r="AC185" s="566"/>
      <c r="AD185" s="566"/>
      <c r="AE185" s="566"/>
      <c r="AF185" s="566"/>
      <c r="AG185" s="1641">
        <v>11</v>
      </c>
    </row>
    <row s="1641" customFormat="1" customHeight="1" ht="11.549999999999999">
      <c r="A186" s="987"/>
      <c r="B186" s="1636"/>
      <c r="C186" s="1636"/>
      <c r="D186" s="351"/>
      <c r="J186" s="1641"/>
      <c r="L186" s="1160"/>
      <c r="M186" s="1636"/>
      <c r="N186" s="1636"/>
      <c r="O186" s="1160"/>
      <c r="P186" s="1160"/>
      <c r="Q186" s="1160"/>
      <c r="R186" s="1160"/>
      <c r="S186" s="1636"/>
      <c r="T186" s="1160"/>
      <c r="U186" s="1160"/>
      <c r="V186" s="544"/>
      <c r="W186" s="1160"/>
      <c r="X186" s="1160"/>
      <c r="Y186" s="1160"/>
      <c r="Z186" s="1160"/>
      <c r="AA186" s="1160"/>
      <c r="AB186" s="1632"/>
      <c r="AC186" s="566"/>
      <c r="AD186" s="566"/>
      <c r="AE186" s="566"/>
      <c r="AF186" s="566"/>
      <c r="AG186" s="1641">
        <v>11</v>
      </c>
    </row>
    <row s="1641" customFormat="1" customHeight="1" ht="11.549999999999999">
      <c r="A187" s="987"/>
      <c r="B187" s="1636"/>
      <c r="C187" s="1636"/>
      <c r="D187" s="351"/>
      <c r="J187" s="1641"/>
      <c r="L187" s="1160"/>
      <c r="M187" s="1636"/>
      <c r="N187" s="1636"/>
      <c r="O187" s="1160"/>
      <c r="P187" s="1160"/>
      <c r="Q187" s="1160"/>
      <c r="R187" s="1160"/>
      <c r="S187" s="1636"/>
      <c r="T187" s="1160"/>
      <c r="U187" s="1160"/>
      <c r="V187" s="544"/>
      <c r="W187" s="1160"/>
      <c r="X187" s="1160"/>
      <c r="Y187" s="1160"/>
      <c r="Z187" s="1160"/>
      <c r="AA187" s="1160"/>
      <c r="AB187" s="1632"/>
      <c r="AC187" s="566"/>
      <c r="AD187" s="566"/>
      <c r="AE187" s="566"/>
      <c r="AF187" s="566"/>
      <c r="AG187" s="1641">
        <v>11</v>
      </c>
    </row>
    <row s="1641" customFormat="1" customHeight="1" ht="11.549999999999999">
      <c r="A188" s="987"/>
      <c r="B188" s="1636"/>
      <c r="C188" s="1636"/>
      <c r="D188" s="351"/>
      <c r="J188" s="1641"/>
      <c r="L188" s="1160"/>
      <c r="M188" s="1636"/>
      <c r="N188" s="1636"/>
      <c r="O188" s="1160"/>
      <c r="P188" s="1160"/>
      <c r="Q188" s="1160"/>
      <c r="R188" s="1160"/>
      <c r="S188" s="1636"/>
      <c r="T188" s="1160"/>
      <c r="U188" s="1160"/>
      <c r="V188" s="544"/>
      <c r="W188" s="1160"/>
      <c r="X188" s="1160"/>
      <c r="Y188" s="1160"/>
      <c r="Z188" s="1160"/>
      <c r="AA188" s="1160"/>
      <c r="AB188" s="1632"/>
      <c r="AC188" s="566"/>
      <c r="AD188" s="566"/>
      <c r="AE188" s="566"/>
      <c r="AF188" s="566"/>
      <c r="AG188" s="1641">
        <v>11</v>
      </c>
    </row>
    <row s="1641" customFormat="1" customHeight="1" ht="11.549999999999999">
      <c r="A189" s="987"/>
      <c r="B189" s="1636"/>
      <c r="C189" s="1636"/>
      <c r="D189" s="351"/>
      <c r="J189" s="1641"/>
      <c r="L189" s="1160"/>
      <c r="M189" s="1636"/>
      <c r="N189" s="1636"/>
      <c r="O189" s="1160"/>
      <c r="P189" s="1160"/>
      <c r="Q189" s="1160"/>
      <c r="R189" s="1160"/>
      <c r="S189" s="1636"/>
      <c r="T189" s="1160"/>
      <c r="U189" s="1160"/>
      <c r="V189" s="544"/>
      <c r="W189" s="1160"/>
      <c r="X189" s="1160"/>
      <c r="Y189" s="1160"/>
      <c r="Z189" s="1160"/>
      <c r="AA189" s="1160"/>
      <c r="AB189" s="1632"/>
      <c r="AC189" s="566"/>
      <c r="AD189" s="566"/>
      <c r="AE189" s="566"/>
      <c r="AF189" s="566"/>
      <c r="AG189" s="1641">
        <v>11</v>
      </c>
    </row>
    <row s="1641" customFormat="1" customHeight="1" ht="11.549999999999999">
      <c r="A190" s="987"/>
      <c r="B190" s="1636"/>
      <c r="C190" s="1636"/>
      <c r="D190" s="351"/>
      <c r="J190" s="1641"/>
      <c r="L190" s="1160"/>
      <c r="M190" s="1636"/>
      <c r="N190" s="1636"/>
      <c r="O190" s="1160"/>
      <c r="P190" s="1160"/>
      <c r="Q190" s="1160"/>
      <c r="R190" s="1160"/>
      <c r="S190" s="1636"/>
      <c r="T190" s="1160"/>
      <c r="U190" s="1160"/>
      <c r="V190" s="544"/>
      <c r="W190" s="1160"/>
      <c r="X190" s="1160"/>
      <c r="Y190" s="1160"/>
      <c r="Z190" s="1160"/>
      <c r="AA190" s="1160"/>
      <c r="AB190" s="1632"/>
      <c r="AC190" s="566"/>
      <c r="AD190" s="566"/>
      <c r="AE190" s="566"/>
      <c r="AF190" s="566"/>
      <c r="AG190" s="1641">
        <v>11</v>
      </c>
    </row>
    <row s="1641" customFormat="1" customHeight="1" ht="11.549999999999999">
      <c r="A191" s="987"/>
      <c r="B191" s="1636"/>
      <c r="C191" s="1636"/>
      <c r="D191" s="351"/>
      <c r="J191" s="1641"/>
      <c r="L191" s="1160"/>
      <c r="M191" s="1636"/>
      <c r="N191" s="1636"/>
      <c r="O191" s="1160"/>
      <c r="P191" s="1160"/>
      <c r="Q191" s="1160"/>
      <c r="R191" s="1160"/>
      <c r="S191" s="1636"/>
      <c r="T191" s="1160"/>
      <c r="U191" s="1160"/>
      <c r="V191" s="544"/>
      <c r="W191" s="1160"/>
      <c r="X191" s="1160"/>
      <c r="Y191" s="1160"/>
      <c r="Z191" s="1160"/>
      <c r="AA191" s="1160"/>
      <c r="AB191" s="1632"/>
      <c r="AC191" s="566"/>
      <c r="AD191" s="566"/>
      <c r="AE191" s="566"/>
      <c r="AF191" s="566"/>
      <c r="AG191" s="1641">
        <v>11</v>
      </c>
    </row>
    <row s="1641" customFormat="1" customHeight="1" ht="11.549999999999999">
      <c r="A192" s="987"/>
      <c r="B192" s="1636"/>
      <c r="C192" s="1636"/>
      <c r="D192" s="351"/>
      <c r="J192" s="1641"/>
      <c r="L192" s="1160"/>
      <c r="M192" s="1636"/>
      <c r="N192" s="1636"/>
      <c r="O192" s="1160"/>
      <c r="P192" s="1160"/>
      <c r="Q192" s="1160"/>
      <c r="R192" s="1160"/>
      <c r="S192" s="1636"/>
      <c r="T192" s="1160"/>
      <c r="U192" s="1160"/>
      <c r="V192" s="544"/>
      <c r="W192" s="1160"/>
      <c r="X192" s="1160"/>
      <c r="Y192" s="1160"/>
      <c r="Z192" s="1160"/>
      <c r="AA192" s="1160"/>
      <c r="AB192" s="1632"/>
      <c r="AC192" s="566"/>
      <c r="AD192" s="566"/>
      <c r="AE192" s="566"/>
      <c r="AF192" s="566"/>
      <c r="AG192" s="1641">
        <v>11</v>
      </c>
    </row>
    <row s="1641" customFormat="1" customHeight="1" ht="11.549999999999999">
      <c r="A193" s="987"/>
      <c r="B193" s="1636"/>
      <c r="C193" s="1636"/>
      <c r="D193" s="351"/>
      <c r="J193" s="1641"/>
      <c r="L193" s="1160"/>
      <c r="M193" s="1636"/>
      <c r="N193" s="1636"/>
      <c r="O193" s="1160"/>
      <c r="P193" s="1160"/>
      <c r="Q193" s="1160"/>
      <c r="R193" s="1160"/>
      <c r="S193" s="1636"/>
      <c r="T193" s="1160"/>
      <c r="U193" s="1160"/>
      <c r="V193" s="544"/>
      <c r="W193" s="1160"/>
      <c r="X193" s="1160"/>
      <c r="Y193" s="1160"/>
      <c r="Z193" s="1160"/>
      <c r="AA193" s="1160"/>
      <c r="AB193" s="1632"/>
      <c r="AC193" s="566"/>
      <c r="AD193" s="566"/>
      <c r="AE193" s="566"/>
      <c r="AF193" s="566"/>
      <c r="AG193" s="1641">
        <v>11</v>
      </c>
    </row>
    <row s="1641" customFormat="1" customHeight="1" ht="11.549999999999999">
      <c r="A194" s="987"/>
      <c r="B194" s="1636"/>
      <c r="C194" s="1636"/>
      <c r="D194" s="351"/>
      <c r="J194" s="1641"/>
      <c r="L194" s="1160"/>
      <c r="M194" s="1636"/>
      <c r="N194" s="1636"/>
      <c r="O194" s="1160"/>
      <c r="P194" s="1160"/>
      <c r="Q194" s="1160"/>
      <c r="R194" s="1160"/>
      <c r="S194" s="1636"/>
      <c r="T194" s="1160"/>
      <c r="U194" s="1160"/>
      <c r="V194" s="544"/>
      <c r="W194" s="1160"/>
      <c r="X194" s="1160"/>
      <c r="Y194" s="1160"/>
      <c r="Z194" s="1160"/>
      <c r="AA194" s="1160"/>
      <c r="AB194" s="1632"/>
      <c r="AC194" s="566"/>
      <c r="AD194" s="566"/>
      <c r="AE194" s="566"/>
      <c r="AF194" s="566"/>
      <c r="AG194" s="1641">
        <v>11</v>
      </c>
    </row>
    <row s="1641" customFormat="1" customHeight="1" ht="11.549999999999999">
      <c r="A195" s="987"/>
      <c r="B195" s="1636"/>
      <c r="C195" s="1636"/>
      <c r="D195" s="351"/>
      <c r="J195" s="1641"/>
      <c r="L195" s="1160"/>
      <c r="M195" s="1636"/>
      <c r="N195" s="1636"/>
      <c r="O195" s="1160"/>
      <c r="P195" s="1160"/>
      <c r="Q195" s="1160"/>
      <c r="R195" s="1160"/>
      <c r="S195" s="1636"/>
      <c r="T195" s="1160"/>
      <c r="U195" s="1160"/>
      <c r="V195" s="544"/>
      <c r="W195" s="1160"/>
      <c r="X195" s="1160"/>
      <c r="Y195" s="1160"/>
      <c r="Z195" s="1160"/>
      <c r="AA195" s="1160"/>
      <c r="AB195" s="1632"/>
      <c r="AC195" s="566"/>
      <c r="AD195" s="566"/>
      <c r="AE195" s="566"/>
      <c r="AF195" s="566"/>
      <c r="AG195" s="1641">
        <v>11</v>
      </c>
    </row>
    <row s="1641" customFormat="1" customHeight="1" ht="11.549999999999999">
      <c r="A196" s="987"/>
      <c r="B196" s="1636"/>
      <c r="C196" s="1636"/>
      <c r="D196" s="351"/>
      <c r="J196" s="1641"/>
      <c r="L196" s="1160"/>
      <c r="M196" s="1636"/>
      <c r="N196" s="1636"/>
      <c r="O196" s="1160"/>
      <c r="P196" s="1160"/>
      <c r="Q196" s="1160"/>
      <c r="R196" s="1160"/>
      <c r="S196" s="1636"/>
      <c r="T196" s="1160"/>
      <c r="U196" s="1160"/>
      <c r="V196" s="544"/>
      <c r="W196" s="1160"/>
      <c r="X196" s="1160"/>
      <c r="Y196" s="1160"/>
      <c r="Z196" s="1160"/>
      <c r="AA196" s="1160"/>
      <c r="AB196" s="1632"/>
      <c r="AC196" s="566"/>
      <c r="AD196" s="566"/>
      <c r="AE196" s="566"/>
      <c r="AF196" s="566"/>
      <c r="AG196" s="1641">
        <v>11</v>
      </c>
    </row>
    <row s="1641" customFormat="1" customHeight="1" ht="11.549999999999999">
      <c r="A197" s="987"/>
      <c r="B197" s="1636"/>
      <c r="C197" s="1636"/>
      <c r="D197" s="351"/>
      <c r="J197" s="1641"/>
      <c r="L197" s="1160"/>
      <c r="M197" s="1636"/>
      <c r="N197" s="1636"/>
      <c r="O197" s="1160"/>
      <c r="P197" s="1160"/>
      <c r="Q197" s="1160"/>
      <c r="R197" s="1160"/>
      <c r="S197" s="1636"/>
      <c r="T197" s="1160"/>
      <c r="U197" s="1160"/>
      <c r="V197" s="544"/>
      <c r="W197" s="1160"/>
      <c r="X197" s="1160"/>
      <c r="Y197" s="1160"/>
      <c r="Z197" s="1160"/>
      <c r="AA197" s="1160"/>
      <c r="AB197" s="1632"/>
      <c r="AC197" s="566"/>
      <c r="AD197" s="566"/>
      <c r="AE197" s="566"/>
      <c r="AF197" s="566"/>
      <c r="AG197" s="1641">
        <v>11</v>
      </c>
    </row>
    <row s="1641" customFormat="1" customHeight="1" ht="11.549999999999999">
      <c r="A198" s="987"/>
      <c r="B198" s="1636"/>
      <c r="C198" s="1636"/>
      <c r="D198" s="351"/>
      <c r="J198" s="1641"/>
      <c r="L198" s="1160"/>
      <c r="M198" s="1636"/>
      <c r="N198" s="1636"/>
      <c r="O198" s="1160"/>
      <c r="P198" s="1160"/>
      <c r="Q198" s="1160"/>
      <c r="R198" s="1160"/>
      <c r="S198" s="1636"/>
      <c r="T198" s="1160"/>
      <c r="U198" s="1160"/>
      <c r="V198" s="544"/>
      <c r="W198" s="1160"/>
      <c r="X198" s="1160"/>
      <c r="Y198" s="1160"/>
      <c r="Z198" s="1160"/>
      <c r="AA198" s="1160"/>
      <c r="AB198" s="1632"/>
      <c r="AC198" s="566"/>
      <c r="AD198" s="566"/>
      <c r="AE198" s="566"/>
      <c r="AF198" s="566"/>
      <c r="AG198" s="1641">
        <v>11</v>
      </c>
    </row>
    <row s="1641" customFormat="1" customHeight="1" ht="11.549999999999999">
      <c r="A199" s="987"/>
      <c r="B199" s="1636"/>
      <c r="C199" s="1636"/>
      <c r="D199" s="351"/>
      <c r="J199" s="1641"/>
      <c r="L199" s="1160"/>
      <c r="M199" s="1636"/>
      <c r="N199" s="1636"/>
      <c r="O199" s="1160"/>
      <c r="P199" s="1160"/>
      <c r="Q199" s="1160"/>
      <c r="R199" s="1160"/>
      <c r="S199" s="1636"/>
      <c r="T199" s="1160"/>
      <c r="U199" s="1160"/>
      <c r="V199" s="544"/>
      <c r="W199" s="1160"/>
      <c r="X199" s="1160"/>
      <c r="Y199" s="1160"/>
      <c r="Z199" s="1160"/>
      <c r="AA199" s="1160"/>
      <c r="AB199" s="1632"/>
      <c r="AC199" s="566"/>
      <c r="AD199" s="566"/>
      <c r="AE199" s="566"/>
      <c r="AF199" s="566"/>
      <c r="AG199" s="1641">
        <v>11</v>
      </c>
    </row>
    <row s="1641" customFormat="1" customHeight="1" ht="11.549999999999999">
      <c r="A200" s="987"/>
      <c r="B200" s="1636"/>
      <c r="C200" s="1636"/>
      <c r="D200" s="351"/>
      <c r="J200" s="1641"/>
      <c r="L200" s="1160"/>
      <c r="M200" s="1636"/>
      <c r="N200" s="1636"/>
      <c r="O200" s="1160"/>
      <c r="P200" s="1160"/>
      <c r="Q200" s="1160"/>
      <c r="R200" s="1160"/>
      <c r="S200" s="1636"/>
      <c r="T200" s="1160"/>
      <c r="U200" s="1160"/>
      <c r="V200" s="544"/>
      <c r="W200" s="1160"/>
      <c r="X200" s="1160"/>
      <c r="Y200" s="1160"/>
      <c r="Z200" s="1160"/>
      <c r="AA200" s="1160"/>
      <c r="AB200" s="1632"/>
      <c r="AC200" s="566"/>
      <c r="AD200" s="566"/>
      <c r="AE200" s="566"/>
      <c r="AF200" s="566"/>
      <c r="AG200" s="1641">
        <v>11</v>
      </c>
    </row>
    <row s="1641" customFormat="1" customHeight="1" ht="11.549999999999999">
      <c r="A201" s="987"/>
      <c r="B201" s="1636"/>
      <c r="C201" s="1636"/>
      <c r="D201" s="351"/>
      <c r="J201" s="1641"/>
      <c r="L201" s="1160"/>
      <c r="M201" s="1636"/>
      <c r="N201" s="1636"/>
      <c r="O201" s="1160"/>
      <c r="P201" s="1160"/>
      <c r="Q201" s="1160"/>
      <c r="R201" s="1160"/>
      <c r="S201" s="1636"/>
      <c r="T201" s="1160"/>
      <c r="U201" s="1160"/>
      <c r="V201" s="544"/>
      <c r="W201" s="1160"/>
      <c r="X201" s="1160"/>
      <c r="Y201" s="1160"/>
      <c r="Z201" s="1160"/>
      <c r="AA201" s="1160"/>
      <c r="AB201" s="1632"/>
      <c r="AC201" s="566"/>
      <c r="AD201" s="566"/>
      <c r="AE201" s="566"/>
      <c r="AF201" s="566"/>
      <c r="AG201" s="1641">
        <v>11</v>
      </c>
    </row>
    <row s="1641" customFormat="1" customHeight="1" ht="11.549999999999999">
      <c r="A202" s="987"/>
      <c r="B202" s="1636"/>
      <c r="C202" s="1636"/>
      <c r="D202" s="351"/>
      <c r="J202" s="1641"/>
      <c r="L202" s="1160"/>
      <c r="M202" s="1636"/>
      <c r="N202" s="1636"/>
      <c r="O202" s="1160"/>
      <c r="P202" s="1160"/>
      <c r="Q202" s="1160"/>
      <c r="R202" s="1160"/>
      <c r="S202" s="1636"/>
      <c r="T202" s="1160"/>
      <c r="U202" s="1160"/>
      <c r="V202" s="544"/>
      <c r="W202" s="1160"/>
      <c r="X202" s="1160"/>
      <c r="Y202" s="1160"/>
      <c r="Z202" s="1160"/>
      <c r="AA202" s="1160"/>
      <c r="AB202" s="1632"/>
      <c r="AC202" s="566"/>
      <c r="AD202" s="566"/>
      <c r="AE202" s="566"/>
      <c r="AF202" s="566"/>
      <c r="AG202" s="1641">
        <v>11</v>
      </c>
    </row>
    <row customHeight="1" ht="11.549999999999999">
      <c r="J203" s="1635"/>
      <c r="AG203" s="1631">
        <v>11</v>
      </c>
    </row>
    <row customHeight="1" ht="11.549999999999999">
      <c r="J204" s="1635"/>
      <c r="AG204" s="1631">
        <v>11</v>
      </c>
    </row>
    <row customHeight="1" ht="11.549999999999999">
      <c r="J205" s="1635"/>
      <c r="AG205" s="1631">
        <v>11</v>
      </c>
    </row>
    <row customHeight="1" ht="11.549999999999999">
      <c r="A206" s="990"/>
      <c r="B206" s="1631"/>
      <c r="D206" s="1631"/>
      <c r="J206" s="1635"/>
      <c r="L206" s="1631"/>
      <c r="O206" s="1631"/>
      <c r="P206" s="1631"/>
      <c r="Q206" s="1631"/>
      <c r="R206" s="1631"/>
      <c r="T206" s="1631"/>
      <c r="U206" s="1631"/>
      <c r="V206" s="1631"/>
      <c r="W206" s="1631"/>
      <c r="X206" s="1631"/>
      <c r="Y206" s="1631"/>
      <c r="Z206" s="1631"/>
      <c r="AA206" s="1631"/>
      <c r="AB206" s="1631"/>
      <c r="AC206" s="1631"/>
      <c r="AD206" s="1631"/>
      <c r="AE206" s="1631"/>
      <c r="AF206" s="1631"/>
      <c r="AG206" s="1631">
        <v>11</v>
      </c>
    </row>
    <row customHeight="1" ht="11.549999999999999">
      <c r="A207" s="990"/>
      <c r="B207" s="1631"/>
      <c r="D207" s="1631"/>
      <c r="J207" s="1635"/>
      <c r="L207" s="1631"/>
      <c r="O207" s="1631"/>
      <c r="P207" s="1631"/>
      <c r="Q207" s="1631"/>
      <c r="R207" s="1631"/>
      <c r="T207" s="1631"/>
      <c r="U207" s="1631"/>
      <c r="V207" s="1631"/>
      <c r="W207" s="1631"/>
      <c r="X207" s="1631"/>
      <c r="Y207" s="1631"/>
      <c r="Z207" s="1631"/>
      <c r="AA207" s="1631"/>
      <c r="AB207" s="1631"/>
      <c r="AC207" s="1631"/>
      <c r="AD207" s="1631"/>
      <c r="AE207" s="1631"/>
      <c r="AF207" s="1631"/>
      <c r="AG207" s="1631">
        <v>11</v>
      </c>
    </row>
    <row customHeight="1" ht="11.549999999999999">
      <c r="A208" s="990"/>
      <c r="B208" s="1631"/>
      <c r="D208" s="1631"/>
      <c r="J208" s="1635"/>
      <c r="L208" s="1631"/>
      <c r="O208" s="1631"/>
      <c r="P208" s="1631"/>
      <c r="Q208" s="1631"/>
      <c r="R208" s="1631"/>
      <c r="T208" s="1631"/>
      <c r="U208" s="1631"/>
      <c r="V208" s="1631"/>
      <c r="W208" s="1631"/>
      <c r="X208" s="1631"/>
      <c r="Y208" s="1631"/>
      <c r="Z208" s="1631"/>
      <c r="AA208" s="1631"/>
      <c r="AB208" s="1631"/>
      <c r="AC208" s="1631"/>
      <c r="AD208" s="1631"/>
      <c r="AE208" s="1631"/>
      <c r="AF208" s="1631"/>
      <c r="AG208" s="1631">
        <v>11</v>
      </c>
    </row>
    <row customHeight="1" ht="11.549999999999999">
      <c r="A209" s="990"/>
      <c r="B209" s="1631"/>
      <c r="D209" s="1631"/>
      <c r="J209" s="1635"/>
      <c r="L209" s="1631"/>
      <c r="O209" s="1631"/>
      <c r="P209" s="1631"/>
      <c r="Q209" s="1631"/>
      <c r="R209" s="1631"/>
      <c r="T209" s="1631"/>
      <c r="U209" s="1631"/>
      <c r="V209" s="1631"/>
      <c r="W209" s="1631"/>
      <c r="X209" s="1631"/>
      <c r="Y209" s="1631"/>
      <c r="Z209" s="1631"/>
      <c r="AA209" s="1631"/>
      <c r="AB209" s="1631"/>
      <c r="AC209" s="1631"/>
      <c r="AD209" s="1631"/>
      <c r="AE209" s="1631"/>
      <c r="AF209" s="1631"/>
      <c r="AG209" s="1631">
        <v>11</v>
      </c>
    </row>
    <row customHeight="1" ht="11.549999999999999">
      <c r="A210" s="990"/>
      <c r="B210" s="1631"/>
      <c r="D210" s="1631"/>
      <c r="J210" s="1635"/>
      <c r="L210" s="1631"/>
      <c r="O210" s="1631"/>
      <c r="P210" s="1631"/>
      <c r="Q210" s="1631"/>
      <c r="R210" s="1631"/>
      <c r="T210" s="1631"/>
      <c r="U210" s="1631"/>
      <c r="V210" s="1631"/>
      <c r="W210" s="1631"/>
      <c r="X210" s="1631"/>
      <c r="Y210" s="1631"/>
      <c r="Z210" s="1631"/>
      <c r="AA210" s="1631"/>
      <c r="AB210" s="1631"/>
      <c r="AC210" s="1631"/>
      <c r="AD210" s="1631"/>
      <c r="AE210" s="1631"/>
      <c r="AF210" s="1631"/>
      <c r="AG210" s="1631">
        <v>11</v>
      </c>
    </row>
    <row customHeight="1" ht="11.549999999999999">
      <c r="A211" s="990"/>
      <c r="B211" s="1631"/>
      <c r="D211" s="1631"/>
      <c r="J211" s="1635"/>
      <c r="L211" s="1631"/>
      <c r="O211" s="1631"/>
      <c r="P211" s="1631"/>
      <c r="Q211" s="1631"/>
      <c r="R211" s="1631"/>
      <c r="T211" s="1631"/>
      <c r="U211" s="1631"/>
      <c r="V211" s="1631"/>
      <c r="W211" s="1631"/>
      <c r="X211" s="1631"/>
      <c r="Y211" s="1631"/>
      <c r="Z211" s="1631"/>
      <c r="AA211" s="1631"/>
      <c r="AB211" s="1631"/>
      <c r="AC211" s="1631"/>
      <c r="AD211" s="1631"/>
      <c r="AE211" s="1631"/>
      <c r="AF211" s="1631"/>
      <c r="AG211" s="1631">
        <v>11</v>
      </c>
    </row>
    <row customHeight="1" ht="11.549999999999999">
      <c r="A212" s="990"/>
      <c r="B212" s="1631"/>
      <c r="D212" s="1631"/>
      <c r="J212" s="1635"/>
      <c r="L212" s="1631"/>
      <c r="O212" s="1631"/>
      <c r="P212" s="1631"/>
      <c r="Q212" s="1631"/>
      <c r="R212" s="1631"/>
      <c r="T212" s="1631"/>
      <c r="U212" s="1631"/>
      <c r="V212" s="1631"/>
      <c r="W212" s="1631"/>
      <c r="X212" s="1631"/>
      <c r="Y212" s="1631"/>
      <c r="Z212" s="1631"/>
      <c r="AA212" s="1631"/>
      <c r="AB212" s="1631"/>
      <c r="AC212" s="1631"/>
      <c r="AD212" s="1631"/>
      <c r="AE212" s="1631"/>
      <c r="AF212" s="1631"/>
      <c r="AG212" s="1631">
        <v>11</v>
      </c>
    </row>
    <row customHeight="1" ht="11.549999999999999">
      <c r="A213" s="990"/>
      <c r="B213" s="1631"/>
      <c r="D213" s="1631"/>
      <c r="J213" s="1635"/>
      <c r="L213" s="1631"/>
      <c r="O213" s="1631"/>
      <c r="P213" s="1631"/>
      <c r="Q213" s="1631"/>
      <c r="R213" s="1631"/>
      <c r="T213" s="1631"/>
      <c r="U213" s="1631"/>
      <c r="V213" s="1631"/>
      <c r="W213" s="1631"/>
      <c r="X213" s="1631"/>
      <c r="Y213" s="1631"/>
      <c r="Z213" s="1631"/>
      <c r="AA213" s="1631"/>
      <c r="AB213" s="1631"/>
      <c r="AC213" s="1631"/>
      <c r="AD213" s="1631"/>
      <c r="AE213" s="1631"/>
      <c r="AF213" s="1631"/>
      <c r="AG213" s="1631">
        <v>11</v>
      </c>
    </row>
    <row customHeight="1" ht="11.549999999999999">
      <c r="A214" s="990"/>
      <c r="B214" s="1631"/>
      <c r="D214" s="1631"/>
      <c r="J214" s="1635"/>
      <c r="L214" s="1631"/>
      <c r="O214" s="1631"/>
      <c r="P214" s="1631"/>
      <c r="Q214" s="1631"/>
      <c r="R214" s="1631"/>
      <c r="T214" s="1631"/>
      <c r="U214" s="1631"/>
      <c r="V214" s="1631"/>
      <c r="W214" s="1631"/>
      <c r="X214" s="1631"/>
      <c r="Y214" s="1631"/>
      <c r="Z214" s="1631"/>
      <c r="AA214" s="1631"/>
      <c r="AB214" s="1631"/>
      <c r="AC214" s="1631"/>
      <c r="AD214" s="1631"/>
      <c r="AE214" s="1631"/>
      <c r="AF214" s="1631"/>
      <c r="AG214" s="1631">
        <v>11</v>
      </c>
    </row>
    <row customHeight="1" ht="11.549999999999999">
      <c r="A215" s="990"/>
      <c r="B215" s="1631"/>
      <c r="D215" s="1631"/>
      <c r="J215" s="1635"/>
      <c r="L215" s="1631"/>
      <c r="O215" s="1631"/>
      <c r="P215" s="1631"/>
      <c r="Q215" s="1631"/>
      <c r="R215" s="1631"/>
      <c r="T215" s="1631"/>
      <c r="U215" s="1631"/>
      <c r="V215" s="1631"/>
      <c r="W215" s="1631"/>
      <c r="X215" s="1631"/>
      <c r="Y215" s="1631"/>
      <c r="Z215" s="1631"/>
      <c r="AA215" s="1631"/>
      <c r="AB215" s="1631"/>
      <c r="AC215" s="1631"/>
      <c r="AD215" s="1631"/>
      <c r="AE215" s="1631"/>
      <c r="AF215" s="1631"/>
      <c r="AG215" s="1631">
        <v>11</v>
      </c>
    </row>
    <row customHeight="1" ht="11.549999999999999">
      <c r="A216" s="990"/>
      <c r="B216" s="1631"/>
      <c r="D216" s="1631"/>
      <c r="J216" s="1635"/>
      <c r="L216" s="1631"/>
      <c r="O216" s="1631"/>
      <c r="P216" s="1631"/>
      <c r="Q216" s="1631"/>
      <c r="R216" s="1631"/>
      <c r="T216" s="1631"/>
      <c r="U216" s="1631"/>
      <c r="V216" s="1631"/>
      <c r="W216" s="1631"/>
      <c r="X216" s="1631"/>
      <c r="Y216" s="1631"/>
      <c r="Z216" s="1631"/>
      <c r="AA216" s="1631"/>
      <c r="AB216" s="1631"/>
      <c r="AC216" s="1631"/>
      <c r="AD216" s="1631"/>
      <c r="AE216" s="1631"/>
      <c r="AF216" s="1631"/>
      <c r="AG216" s="1631">
        <v>11</v>
      </c>
    </row>
    <row customHeight="1" ht="11.25" hidden="1">
      <c r="A217" s="987" t="s">
        <v>82</v>
      </c>
      <c r="B217" s="1160">
        <v>0</v>
      </c>
      <c r="C217" s="1636">
        <v>0</v>
      </c>
      <c r="D217" s="1635">
        <v>3</v>
      </c>
      <c r="E217" s="1631">
        <v>7</v>
      </c>
      <c r="F217" s="1631">
        <v>56</v>
      </c>
      <c r="G217" s="1631">
        <v>10</v>
      </c>
      <c r="H217" s="1631">
        <v>0</v>
      </c>
      <c r="I217" s="1631">
        <v>40</v>
      </c>
      <c r="J217" s="1635">
        <v>0</v>
      </c>
      <c r="K217" s="1631">
        <v>102</v>
      </c>
      <c r="L217" s="1160">
        <v>9</v>
      </c>
      <c r="M217" s="1636">
        <v>5</v>
      </c>
      <c r="N217" s="1636">
        <v>3</v>
      </c>
      <c r="O217" s="1160">
        <v>3</v>
      </c>
      <c r="P217" s="1160">
        <v>3</v>
      </c>
      <c r="Q217" s="1160">
        <v>3</v>
      </c>
      <c r="R217" s="1160">
        <v>3</v>
      </c>
      <c r="S217" s="1636">
        <v>10</v>
      </c>
      <c r="T217" s="1160">
        <v>34</v>
      </c>
      <c r="U217" s="1160">
        <v>9</v>
      </c>
      <c r="V217" s="544">
        <v>8</v>
      </c>
      <c r="W217" s="1160">
        <v>8</v>
      </c>
      <c r="X217" s="1160">
        <v>8</v>
      </c>
      <c r="Y217" s="1160">
        <v>8</v>
      </c>
      <c r="Z217" s="1160">
        <v>8</v>
      </c>
      <c r="AA217" s="1160">
        <v>8</v>
      </c>
      <c r="AB217" s="1632">
        <v>8</v>
      </c>
      <c r="AC217" s="1632">
        <v>8</v>
      </c>
      <c r="AD217" s="1632">
        <v>8</v>
      </c>
      <c r="AE217" s="1632">
        <v>8</v>
      </c>
      <c r="AF217" s="1632">
        <v>8</v>
      </c>
      <c r="AG217" s="1631">
        <v>11</v>
      </c>
    </row>
  </sheetData>
  <sheetProtection formatColumns="0" formatRows="0" autoFilter="0" sort="0" insertRows="0" insertColumns="1" deleteRows="0" deleteColumns="0"/>
  <mergeCells count="7">
    <mergeCell ref="E6:I6"/>
    <mergeCell ref="E7:I7"/>
    <mergeCell ref="F10:G10"/>
    <mergeCell ref="K10:K14"/>
    <mergeCell ref="F11:G11"/>
    <mergeCell ref="F12:G12"/>
    <mergeCell ref="E13:G13"/>
  </mergeCells>
  <dataValidations count="5">
    <dataValidation type="decimal" allowBlank="1" showErrorMessage="1" errorTitle="Ошибка" error="Допускается ввод только действительных чисел!" sqref="H40:J42">
      <formula1>-9.99999999999999E+37</formula1>
      <formula2>9.99999999999999E+37</formula2>
    </dataValidation>
    <dataValidation type="decimal" allowBlank="1" showErrorMessage="1" errorTitle="Ошибка" error="Допускается ввод только действительных чисел!" sqref="H36:J37">
      <formula1>-9.99999999999999E+23</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43:J43">
      <formula1>900</formula1>
    </dataValidation>
    <dataValidation type="decimal" allowBlank="1" showErrorMessage="1" errorTitle="Ошибка" error="Допускается ввод только неотрицательных чисел!" sqref="H38:J39 H2:J2 H15:J15 H17:J32 H35:J35 H44:J46">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H33:J33">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9C65D41-89B2-B752-C099-752F26955F2F}" mc:Ignorable="x14ac xr xr2 xr3">
  <sheetPr>
    <tabColor theme="9" tint="-0.25"/>
  </sheetPr>
  <dimension ref="A1:AG210"/>
  <sheetViews>
    <sheetView showGridLines="0" zoomScale="90" workbookViewId="0">
      <pane xSplit="8" ySplit="14" topLeftCell="J15" activePane="bottomRight" state="frozen"/>
      <selection pane="bottomLeft" activeCell="A15" sqref="A15"/>
      <selection pane="topRight" activeCell="I1" sqref="I1"/>
      <selection pane="bottomRight" activeCell="J9" sqref="J9"/>
    </sheetView>
  </sheetViews>
  <sheetFormatPr defaultColWidth="9.140625" customHeight="1" defaultRowHeight="11.25"/>
  <cols>
    <col min="1" max="1" style="987" width="10.7109375" hidden="1" customWidth="1"/>
    <col min="2" max="2" style="1366" width="16.8515625" hidden="1" customWidth="1"/>
    <col min="3" max="3" style="1642" width="5.57421875" hidden="1" customWidth="1"/>
    <col min="4" max="4" style="1635" width="3.00390625" customWidth="1"/>
    <col min="5" max="5" style="1635" width="7.00390625" customWidth="1"/>
    <col min="6" max="6" style="1635" width="54.00390625" customWidth="1"/>
    <col min="7" max="7" style="1635" width="10.00390625" customWidth="1"/>
    <col min="8" max="8" style="1635" width="40.7109375" hidden="1" customWidth="1"/>
    <col min="9" max="9" style="1635" width="40.00390625" customWidth="1"/>
    <col min="10" max="10" style="1635" width="40.7109375" customWidth="1"/>
    <col min="11" max="11" style="1635" width="102.00390625" customWidth="1"/>
    <col min="12" max="12" style="1366" width="9.00390625" customWidth="1"/>
    <col min="13" max="13" style="1642" width="5.00390625" customWidth="1"/>
    <col min="14" max="14" style="1642" width="3.00390625" customWidth="1"/>
    <col min="15" max="18" style="1366" width="3.00390625" customWidth="1"/>
    <col min="19" max="19" style="1642" width="10.00390625" customWidth="1"/>
    <col min="20" max="20" style="1366" width="34.00390625" customWidth="1"/>
    <col min="21" max="21" style="1366" width="9.00390625" customWidth="1"/>
    <col min="22" max="22" style="736" width="8.00390625" customWidth="1"/>
    <col min="23" max="27" style="1366" width="8.00390625" customWidth="1"/>
    <col min="28" max="32" style="1632" width="8.00390625" customWidth="1"/>
    <col min="33" max="33" style="1635" width="9.140625" hidden="1"/>
  </cols>
  <sheetData>
    <row s="1366" customFormat="1" customHeight="1" ht="22.5" hidden="1">
      <c r="A1" s="987"/>
      <c r="C1" s="1636"/>
      <c r="D1" s="537"/>
      <c r="H1" s="1160">
        <v>4</v>
      </c>
      <c r="I1" s="1160">
        <v>4</v>
      </c>
      <c r="J1" s="1366">
        <v>4</v>
      </c>
      <c r="M1" s="1636"/>
      <c r="N1" s="1636"/>
      <c r="S1" s="1636"/>
      <c r="AG1" s="1160" t="s">
        <v>14</v>
      </c>
    </row>
    <row s="1366" customFormat="1" customHeight="1" ht="22.5" hidden="1">
      <c r="A2" s="987"/>
      <c r="C2" s="1636"/>
      <c r="D2" s="538"/>
      <c r="E2" s="1658"/>
      <c r="F2" s="540"/>
      <c r="G2" s="1657" t="s">
        <v>554</v>
      </c>
      <c r="H2" s="541"/>
      <c r="I2" s="541"/>
      <c r="J2" s="751"/>
      <c r="K2" s="542" t="s">
        <v>557</v>
      </c>
      <c r="L2" s="543"/>
      <c r="M2" s="1636"/>
      <c r="N2" s="1636"/>
      <c r="S2" s="1636"/>
      <c r="V2" s="544"/>
      <c r="AB2" s="1632"/>
      <c r="AC2" s="1632"/>
      <c r="AD2" s="1632"/>
      <c r="AE2" s="1632"/>
      <c r="AF2" s="1632"/>
      <c r="AG2" s="1160">
        <v>0</v>
      </c>
    </row>
    <row customHeight="1" ht="11.25" hidden="1">
      <c r="J3" s="1635"/>
      <c r="AG3" s="1631">
        <v>0</v>
      </c>
    </row>
    <row s="1632" customFormat="1" customHeight="1" ht="11.25" hidden="1">
      <c r="A4" s="987"/>
      <c r="B4" s="1160"/>
      <c r="C4" s="1636"/>
      <c r="D4" s="362"/>
      <c r="J4" s="1632"/>
      <c r="K4" s="1632">
        <v>4</v>
      </c>
      <c r="L4" s="1160"/>
      <c r="M4" s="1636"/>
      <c r="N4" s="1636"/>
      <c r="O4" s="1160"/>
      <c r="P4" s="1160"/>
      <c r="Q4" s="1160"/>
      <c r="R4" s="1160"/>
      <c r="S4" s="1636"/>
      <c r="T4" s="1160"/>
      <c r="U4" s="1160"/>
      <c r="V4" s="544"/>
      <c r="W4" s="1160"/>
      <c r="X4" s="1160"/>
      <c r="Y4" s="1160"/>
      <c r="Z4" s="1160"/>
      <c r="AA4" s="1160"/>
      <c r="AG4" s="1632">
        <v>0</v>
      </c>
    </row>
    <row customHeight="1" ht="11.549999999999999">
      <c r="J5" s="1635"/>
      <c r="AG5" s="1631">
        <v>11</v>
      </c>
    </row>
    <row customHeight="1" ht="33.75">
      <c r="E6" s="2248" t="s">
        <v>777</v>
      </c>
      <c r="F6" s="2248"/>
      <c r="G6" s="2248"/>
      <c r="H6" s="2248"/>
      <c r="I6" s="2248"/>
      <c r="J6" s="2248"/>
      <c r="K6" s="556"/>
      <c r="AG6" s="1631">
        <v>32</v>
      </c>
    </row>
    <row customHeight="1" ht="25.2">
      <c r="E7" s="2249" t="str">
        <f>IF(org=0,"Не определено",org)</f>
        <v>ПАО "ОГК-2"</v>
      </c>
      <c r="F7" s="2249"/>
      <c r="G7" s="2249"/>
      <c r="H7" s="2249"/>
      <c r="I7" s="2249"/>
      <c r="J7" s="2249"/>
      <c r="AG7" s="1631">
        <v>24</v>
      </c>
    </row>
    <row customHeight="1" ht="11.549999999999999">
      <c r="E8" s="1135"/>
      <c r="F8" s="1135"/>
      <c r="G8" s="1135"/>
      <c r="H8" s="1135"/>
      <c r="I8" s="1135"/>
      <c r="J8" s="1136" t="s">
        <v>22</v>
      </c>
      <c r="AG8" s="1631">
        <v>11</v>
      </c>
    </row>
    <row s="1642" customFormat="1" customHeight="1" ht="1.05">
      <c r="A9" s="1167"/>
      <c r="D9" s="1642"/>
      <c r="H9" s="889"/>
      <c r="I9" s="889" t="s">
        <v>117</v>
      </c>
      <c r="J9" s="889" t="s">
        <v>123</v>
      </c>
      <c r="AG9" s="1636">
        <v>1</v>
      </c>
    </row>
    <row customHeight="1" ht="11.549999999999999">
      <c r="E10" s="711"/>
      <c r="F10" s="2367" t="s">
        <v>105</v>
      </c>
      <c r="G10" s="2368"/>
      <c r="H10" s="1659" t="str">
        <f>IF(H9="","",INDEX(DIFFERENTIATION_UNMERGE_VD,MATCH(H9,DIFFERENTIATION_ID_DIFF,0)))</f>
        <v/>
      </c>
      <c r="I10" s="1659" t="str">
        <f>IF(I9="","",INDEX(DIFFERENTIATION_UNMERGE_VD,MATCH(I9,DIFFERENTIATION_ID_DIFF,0)))</f>
        <v>Производство тепловой энергии. Некомбинированная выработка</v>
      </c>
      <c r="J10" s="2393" t="str">
        <f>IF(J9="","",INDEX(DIFFERENTIATION_UNMERGE_VD,MATCH(J9,DIFFERENTIATION_ID_DIFF,0)))</f>
        <v>Производство. Теплоноситель</v>
      </c>
      <c r="K10" s="2127"/>
      <c r="AG10" s="1631">
        <v>11</v>
      </c>
    </row>
    <row customHeight="1" ht="11.549999999999999">
      <c r="E11" s="711"/>
      <c r="F11" s="2367" t="s">
        <v>566</v>
      </c>
      <c r="G11" s="2368"/>
      <c r="H11" s="1659" t="str">
        <f>IF(H9="","",INDEX(DIFFERENTIATION_UNMERGE_AREA,MATCH(H9,DIFFERENTIATION_ID_DIFF,0)))</f>
        <v/>
      </c>
      <c r="I11" s="1659" t="str">
        <f>IF(I9="","",INDEX(DIFFERENTIATION_UNMERGE_AREA,MATCH(I9,DIFFERENTIATION_ID_DIFF,0)))</f>
        <v>без дифференциации</v>
      </c>
      <c r="J11" s="2393" t="str">
        <f>IF(J9="","",INDEX(DIFFERENTIATION_UNMERGE_AREA,MATCH(J9,DIFFERENTIATION_ID_DIFF,0)))</f>
        <v>без дифференциации</v>
      </c>
      <c r="K11" s="2127"/>
      <c r="AG11" s="1631">
        <v>11</v>
      </c>
    </row>
    <row customHeight="1" ht="11.25" hidden="1">
      <c r="E12" s="1662"/>
      <c r="F12" s="2390" t="s">
        <v>567</v>
      </c>
      <c r="G12" s="2391"/>
      <c r="H12" s="1663" t="str">
        <f>IF(H9="","",INDEX(DIFFERENTIATION_UNMERGE_SYSTEM,MATCH(H9,DIFFERENTIATION_ID_DIFF,0)))</f>
        <v/>
      </c>
      <c r="I12" s="1663" t="str">
        <f>IF(I9="","",INDEX(DIFFERENTIATION_UNMERGE_SYSTEM,MATCH(I9,DIFFERENTIATION_ID_DIFF,0)))</f>
        <v>без дифференциации</v>
      </c>
      <c r="J12" s="1663" t="str">
        <f>IF(J9="","",INDEX(DIFFERENTIATION_UNMERGE_SYSTEM,MATCH(J9,DIFFERENTIATION_ID_DIFF,0)))</f>
        <v>без дифференциации</v>
      </c>
      <c r="K12" s="2127"/>
      <c r="AG12" s="1631">
        <v>0</v>
      </c>
    </row>
    <row customHeight="1" ht="11.549999999999999">
      <c r="E13" s="2369" t="s">
        <v>302</v>
      </c>
      <c r="F13" s="2370"/>
      <c r="G13" s="2370"/>
      <c r="H13" s="1656"/>
      <c r="I13" s="1656"/>
      <c r="J13" s="2367"/>
      <c r="K13" s="2127"/>
      <c r="AG13" s="1631">
        <v>11</v>
      </c>
    </row>
    <row customHeight="1" ht="24">
      <c r="E14" s="1657" t="s">
        <v>88</v>
      </c>
      <c r="F14" s="1660" t="s">
        <v>304</v>
      </c>
      <c r="G14" s="1660" t="s">
        <v>568</v>
      </c>
      <c r="H14" s="1660" t="s">
        <v>305</v>
      </c>
      <c r="I14" s="1660" t="s">
        <v>305</v>
      </c>
      <c r="J14" s="2312" t="s">
        <v>305</v>
      </c>
      <c r="K14" s="2127"/>
      <c r="AG14" s="1631">
        <v>23</v>
      </c>
    </row>
    <row customHeight="1" ht="19.95">
      <c r="D15" s="1638"/>
      <c r="E15" s="1630" t="s">
        <v>109</v>
      </c>
      <c r="F15" s="707" t="s">
        <v>778</v>
      </c>
      <c r="G15" s="1657" t="s">
        <v>554</v>
      </c>
      <c r="H15" s="557"/>
      <c r="I15" s="557"/>
      <c r="J15" s="557"/>
      <c r="K15" s="289" t="s">
        <v>779</v>
      </c>
      <c r="L15" s="543" t="s">
        <v>633</v>
      </c>
      <c r="AG15" s="1631">
        <v>19</v>
      </c>
    </row>
    <row customHeight="1" ht="24">
      <c r="D16" s="1638"/>
      <c r="E16" s="1630" t="s">
        <v>110</v>
      </c>
      <c r="F16" s="1665" t="s">
        <v>780</v>
      </c>
      <c r="G16" s="1657" t="s">
        <v>554</v>
      </c>
      <c r="H16" s="558">
        <f>SUM(H17,H20:H27)</f>
        <v>0</v>
      </c>
      <c r="I16" s="558">
        <f>SUM(I17,I20:I27)</f>
        <v>0</v>
      </c>
      <c r="J16" s="558">
        <f>SUM(J17,J20:J27)</f>
        <v>0</v>
      </c>
      <c r="K16" s="289" t="s">
        <v>781</v>
      </c>
      <c r="L16" s="543" t="s">
        <v>633</v>
      </c>
      <c r="AG16" s="1631">
        <v>23</v>
      </c>
    </row>
    <row customHeight="1" ht="35.699999999999996">
      <c r="D17" s="1638"/>
      <c r="E17" s="1664" t="s">
        <v>711</v>
      </c>
      <c r="F17" s="1667" t="s">
        <v>782</v>
      </c>
      <c r="G17" s="1654" t="s">
        <v>554</v>
      </c>
      <c r="H17" s="557"/>
      <c r="I17" s="557"/>
      <c r="J17" s="557"/>
      <c r="K17" s="289" t="s">
        <v>783</v>
      </c>
      <c r="L17" s="543"/>
      <c r="AG17" s="1631">
        <v>34</v>
      </c>
    </row>
    <row customHeight="1" ht="19.95">
      <c r="D18" s="1638"/>
      <c r="E18" s="1664" t="s">
        <v>714</v>
      </c>
      <c r="F18" s="1668" t="s">
        <v>784</v>
      </c>
      <c r="G18" s="1654" t="s">
        <v>554</v>
      </c>
      <c r="H18" s="557"/>
      <c r="I18" s="557"/>
      <c r="J18" s="557"/>
      <c r="K18" s="289"/>
      <c r="L18" s="543"/>
      <c r="AG18" s="1631">
        <v>19</v>
      </c>
    </row>
    <row customHeight="1" ht="24">
      <c r="D19" s="1638"/>
      <c r="E19" s="1664" t="s">
        <v>717</v>
      </c>
      <c r="F19" s="1668" t="s">
        <v>785</v>
      </c>
      <c r="G19" s="1654" t="s">
        <v>554</v>
      </c>
      <c r="H19" s="557"/>
      <c r="I19" s="557"/>
      <c r="J19" s="557"/>
      <c r="K19" s="289"/>
      <c r="L19" s="543"/>
      <c r="AG19" s="1631">
        <v>23</v>
      </c>
    </row>
    <row customHeight="1" ht="35.699999999999996">
      <c r="D20" s="1638"/>
      <c r="E20" s="1664" t="s">
        <v>309</v>
      </c>
      <c r="F20" s="1667" t="s">
        <v>786</v>
      </c>
      <c r="G20" s="1654" t="s">
        <v>554</v>
      </c>
      <c r="H20" s="557"/>
      <c r="I20" s="557"/>
      <c r="J20" s="557"/>
      <c r="K20" s="289"/>
      <c r="L20" s="543"/>
      <c r="AG20" s="1631">
        <v>34</v>
      </c>
    </row>
    <row customHeight="1" ht="48.29999999999999">
      <c r="D21" s="1638"/>
      <c r="E21" s="1664" t="s">
        <v>312</v>
      </c>
      <c r="F21" s="1667" t="s">
        <v>787</v>
      </c>
      <c r="G21" s="1654" t="s">
        <v>554</v>
      </c>
      <c r="H21" s="557"/>
      <c r="I21" s="557"/>
      <c r="J21" s="557"/>
      <c r="K21" s="289"/>
      <c r="L21" s="543"/>
      <c r="AG21" s="1631">
        <v>46</v>
      </c>
    </row>
    <row customHeight="1" ht="60">
      <c r="D22" s="1638"/>
      <c r="E22" s="1664" t="s">
        <v>731</v>
      </c>
      <c r="F22" s="1667" t="s">
        <v>788</v>
      </c>
      <c r="G22" s="1654" t="s">
        <v>554</v>
      </c>
      <c r="H22" s="557"/>
      <c r="I22" s="557"/>
      <c r="J22" s="557"/>
      <c r="K22" s="289"/>
      <c r="L22" s="543"/>
      <c r="AG22" s="1631">
        <v>57</v>
      </c>
    </row>
    <row customHeight="1" ht="35.699999999999996">
      <c r="D23" s="1638"/>
      <c r="E23" s="1664" t="s">
        <v>738</v>
      </c>
      <c r="F23" s="1667" t="s">
        <v>789</v>
      </c>
      <c r="G23" s="1654" t="s">
        <v>554</v>
      </c>
      <c r="H23" s="557"/>
      <c r="I23" s="557"/>
      <c r="J23" s="557"/>
      <c r="K23" s="289"/>
      <c r="L23" s="543"/>
      <c r="AG23" s="1631">
        <v>34</v>
      </c>
    </row>
    <row customHeight="1" ht="35.699999999999996">
      <c r="D24" s="1638"/>
      <c r="E24" s="1664" t="s">
        <v>740</v>
      </c>
      <c r="F24" s="1667" t="s">
        <v>790</v>
      </c>
      <c r="G24" s="1654" t="s">
        <v>554</v>
      </c>
      <c r="H24" s="557"/>
      <c r="I24" s="557"/>
      <c r="J24" s="557"/>
      <c r="K24" s="289"/>
      <c r="L24" s="543"/>
      <c r="AG24" s="1631">
        <v>34</v>
      </c>
    </row>
    <row customHeight="1" ht="24">
      <c r="D25" s="1638"/>
      <c r="E25" s="1664" t="s">
        <v>742</v>
      </c>
      <c r="F25" s="1667" t="s">
        <v>791</v>
      </c>
      <c r="G25" s="1654" t="s">
        <v>554</v>
      </c>
      <c r="H25" s="557"/>
      <c r="I25" s="557"/>
      <c r="J25" s="557"/>
      <c r="K25" s="289"/>
      <c r="L25" s="543"/>
      <c r="AG25" s="1631">
        <v>23</v>
      </c>
    </row>
    <row customHeight="1" ht="76.5">
      <c r="D26" s="1638"/>
      <c r="E26" s="1664" t="s">
        <v>744</v>
      </c>
      <c r="F26" s="1667" t="s">
        <v>792</v>
      </c>
      <c r="G26" s="1654" t="s">
        <v>554</v>
      </c>
      <c r="H26" s="557"/>
      <c r="I26" s="557"/>
      <c r="J26" s="557"/>
      <c r="K26" s="289"/>
      <c r="L26" s="543"/>
      <c r="AG26" s="1631">
        <v>73</v>
      </c>
    </row>
    <row s="1366" customFormat="1" customHeight="1" ht="35.699999999999996">
      <c r="A27" s="987"/>
      <c r="C27" s="1636"/>
      <c r="D27" s="1638"/>
      <c r="E27" s="1629" t="s">
        <v>748</v>
      </c>
      <c r="F27" s="1628" t="s">
        <v>793</v>
      </c>
      <c r="G27" s="1655" t="s">
        <v>554</v>
      </c>
      <c r="H27" s="579">
        <f>SUM(H28:H29)</f>
        <v>0</v>
      </c>
      <c r="I27" s="579">
        <f>SUM(I28:I29)</f>
        <v>0</v>
      </c>
      <c r="J27" s="579">
        <f>SUM(J28:J29)</f>
        <v>0</v>
      </c>
      <c r="K27" s="289" t="s">
        <v>746</v>
      </c>
      <c r="L27" s="543"/>
      <c r="M27" s="1636"/>
      <c r="N27" s="1636"/>
      <c r="S27" s="1636"/>
      <c r="V27" s="544"/>
      <c r="AB27" s="1632"/>
      <c r="AC27" s="1632"/>
      <c r="AD27" s="1632"/>
      <c r="AE27" s="1632"/>
      <c r="AF27" s="1632"/>
      <c r="AG27" s="1160">
        <v>34</v>
      </c>
    </row>
    <row s="1642" customFormat="1" customHeight="1" ht="1.05">
      <c r="A28" s="1167"/>
      <c r="D28" s="548"/>
      <c r="E28" s="802" t="str">
        <f>E27&amp;".0"</f>
        <v>2.9.0</v>
      </c>
      <c r="F28" s="991"/>
      <c r="G28" s="551"/>
      <c r="H28" s="992"/>
      <c r="I28" s="992"/>
      <c r="J28" s="992"/>
      <c r="K28" s="993"/>
      <c r="AG28" s="1636">
        <v>1</v>
      </c>
    </row>
    <row s="1366" customFormat="1" customHeight="1" ht="19.95">
      <c r="A29" s="987"/>
      <c r="C29" s="1636"/>
      <c r="D29" s="1633"/>
      <c r="E29" s="570"/>
      <c r="F29" s="1666" t="s">
        <v>579</v>
      </c>
      <c r="G29" s="572"/>
      <c r="H29" s="573"/>
      <c r="I29" s="573"/>
      <c r="J29" s="2641"/>
      <c r="K29" s="301" t="s">
        <v>747</v>
      </c>
      <c r="L29" s="543"/>
      <c r="M29" s="1636"/>
      <c r="N29" s="1636"/>
      <c r="S29" s="1636"/>
      <c r="V29" s="544"/>
      <c r="AB29" s="1632"/>
      <c r="AC29" s="1632"/>
      <c r="AD29" s="1632"/>
      <c r="AE29" s="1632"/>
      <c r="AF29" s="1632"/>
      <c r="AG29" s="1160">
        <v>19</v>
      </c>
    </row>
    <row s="1366" customFormat="1" customHeight="1" ht="24">
      <c r="A30" s="987"/>
      <c r="C30" s="1636"/>
      <c r="D30" s="1638"/>
      <c r="E30" s="1664" t="s">
        <v>90</v>
      </c>
      <c r="F30" s="1661" t="s">
        <v>794</v>
      </c>
      <c r="G30" s="1654" t="s">
        <v>554</v>
      </c>
      <c r="H30" s="557"/>
      <c r="I30" s="557"/>
      <c r="J30" s="557"/>
      <c r="K30" s="289"/>
      <c r="L30" s="543"/>
      <c r="M30" s="1636"/>
      <c r="N30" s="1636"/>
      <c r="S30" s="1636"/>
      <c r="V30" s="544"/>
      <c r="AB30" s="1632"/>
      <c r="AC30" s="1632"/>
      <c r="AD30" s="1632"/>
      <c r="AE30" s="1632"/>
      <c r="AF30" s="1632"/>
      <c r="AG30" s="1160">
        <v>23</v>
      </c>
    </row>
    <row s="1366" customFormat="1" customHeight="1" ht="35.699999999999996">
      <c r="A31" s="987"/>
      <c r="C31" s="1636"/>
      <c r="D31" s="575"/>
      <c r="E31" s="1664" t="s">
        <v>91</v>
      </c>
      <c r="F31" s="1661" t="s">
        <v>795</v>
      </c>
      <c r="G31" s="1654" t="s">
        <v>554</v>
      </c>
      <c r="H31" s="557"/>
      <c r="I31" s="557"/>
      <c r="J31" s="557"/>
      <c r="K31" s="289" t="s">
        <v>796</v>
      </c>
      <c r="L31" s="543"/>
      <c r="M31" s="1636"/>
      <c r="N31" s="1636"/>
      <c r="S31" s="1636"/>
      <c r="V31" s="544"/>
      <c r="AB31" s="1632"/>
      <c r="AC31" s="1632"/>
      <c r="AD31" s="1632"/>
      <c r="AE31" s="1632"/>
      <c r="AF31" s="1632"/>
      <c r="AG31" s="1160">
        <v>34</v>
      </c>
    </row>
    <row s="1366" customFormat="1" customHeight="1" ht="24">
      <c r="A32" s="987"/>
      <c r="C32" s="1636"/>
      <c r="D32" s="1638"/>
      <c r="E32" s="1664" t="s">
        <v>756</v>
      </c>
      <c r="F32" s="690" t="s">
        <v>760</v>
      </c>
      <c r="G32" s="1654" t="s">
        <v>554</v>
      </c>
      <c r="H32" s="557"/>
      <c r="I32" s="557"/>
      <c r="J32" s="557"/>
      <c r="K32" s="289" t="s">
        <v>797</v>
      </c>
      <c r="L32" s="543"/>
      <c r="M32" s="1636"/>
      <c r="N32" s="1636"/>
      <c r="S32" s="1636"/>
      <c r="V32" s="544"/>
      <c r="AB32" s="1632"/>
      <c r="AC32" s="1632"/>
      <c r="AD32" s="1632"/>
      <c r="AE32" s="1632"/>
      <c r="AF32" s="1632"/>
      <c r="AG32" s="1160">
        <v>23</v>
      </c>
    </row>
    <row s="1366" customFormat="1" customHeight="1" ht="24">
      <c r="A33" s="987"/>
      <c r="C33" s="1636"/>
      <c r="D33" s="1638"/>
      <c r="E33" s="1664" t="s">
        <v>798</v>
      </c>
      <c r="F33" s="690" t="s">
        <v>799</v>
      </c>
      <c r="G33" s="1654" t="s">
        <v>554</v>
      </c>
      <c r="H33" s="557"/>
      <c r="I33" s="557"/>
      <c r="J33" s="557"/>
      <c r="K33" s="289" t="s">
        <v>800</v>
      </c>
      <c r="L33" s="543"/>
      <c r="M33" s="1636"/>
      <c r="N33" s="1636"/>
      <c r="S33" s="1636"/>
      <c r="V33" s="544"/>
      <c r="AB33" s="1632"/>
      <c r="AC33" s="1632"/>
      <c r="AD33" s="1632"/>
      <c r="AE33" s="1632"/>
      <c r="AF33" s="1632"/>
      <c r="AG33" s="1160">
        <v>23</v>
      </c>
    </row>
    <row s="1366" customFormat="1" customHeight="1" ht="24">
      <c r="A34" s="987"/>
      <c r="C34" s="1636"/>
      <c r="D34" s="1638"/>
      <c r="E34" s="1664" t="s">
        <v>801</v>
      </c>
      <c r="F34" s="690" t="s">
        <v>766</v>
      </c>
      <c r="G34" s="1654" t="s">
        <v>554</v>
      </c>
      <c r="H34" s="557"/>
      <c r="I34" s="557"/>
      <c r="J34" s="557"/>
      <c r="K34" s="289" t="s">
        <v>802</v>
      </c>
      <c r="L34" s="543"/>
      <c r="M34" s="1636"/>
      <c r="N34" s="1636"/>
      <c r="S34" s="1636"/>
      <c r="V34" s="544"/>
      <c r="AB34" s="1632"/>
      <c r="AC34" s="1632"/>
      <c r="AD34" s="1632"/>
      <c r="AE34" s="1632"/>
      <c r="AF34" s="1632"/>
      <c r="AG34" s="1160">
        <v>23</v>
      </c>
    </row>
    <row s="1366" customFormat="1" customHeight="1" ht="35.699999999999996">
      <c r="A35" s="987"/>
      <c r="C35" s="1636" t="s">
        <v>590</v>
      </c>
      <c r="D35" s="1638"/>
      <c r="E35" s="1664" t="s">
        <v>111</v>
      </c>
      <c r="F35" s="1661" t="s">
        <v>632</v>
      </c>
      <c r="G35" s="1657" t="s">
        <v>308</v>
      </c>
      <c r="H35" s="401"/>
      <c r="I35" s="401"/>
      <c r="J35" s="818"/>
      <c r="K35" s="289" t="s">
        <v>803</v>
      </c>
      <c r="L35" s="543"/>
      <c r="M35" s="1636"/>
      <c r="N35" s="1636"/>
      <c r="S35" s="1636"/>
      <c r="V35" s="544"/>
      <c r="AB35" s="1632"/>
      <c r="AC35" s="1632"/>
      <c r="AD35" s="1632"/>
      <c r="AE35" s="1632"/>
      <c r="AF35" s="1632"/>
      <c r="AG35" s="1160">
        <v>34</v>
      </c>
    </row>
    <row s="1366" customFormat="1" customHeight="1" ht="35.699999999999996">
      <c r="A36" s="987"/>
      <c r="C36" s="1636"/>
      <c r="D36" s="1638"/>
      <c r="E36" s="1664" t="s">
        <v>92</v>
      </c>
      <c r="F36" s="1661" t="s">
        <v>804</v>
      </c>
      <c r="G36" s="1654" t="s">
        <v>771</v>
      </c>
      <c r="H36" s="545"/>
      <c r="I36" s="545"/>
      <c r="J36" s="545"/>
      <c r="K36" s="289" t="s">
        <v>772</v>
      </c>
      <c r="L36" s="543"/>
      <c r="M36" s="1636"/>
      <c r="N36" s="1636"/>
      <c r="S36" s="1636"/>
      <c r="V36" s="544"/>
      <c r="AB36" s="1632"/>
      <c r="AC36" s="1632"/>
      <c r="AD36" s="1632"/>
      <c r="AE36" s="1632"/>
      <c r="AF36" s="1632"/>
      <c r="AG36" s="1160">
        <v>34</v>
      </c>
    </row>
    <row s="1366" customFormat="1" customHeight="1" ht="24">
      <c r="A37" s="987"/>
      <c r="C37" s="1636"/>
      <c r="D37" s="1638"/>
      <c r="E37" s="1664" t="s">
        <v>93</v>
      </c>
      <c r="F37" s="1661" t="s">
        <v>805</v>
      </c>
      <c r="G37" s="1654" t="s">
        <v>774</v>
      </c>
      <c r="H37" s="545"/>
      <c r="I37" s="545"/>
      <c r="J37" s="545"/>
      <c r="K37" s="289" t="s">
        <v>775</v>
      </c>
      <c r="L37" s="543"/>
      <c r="M37" s="1636"/>
      <c r="N37" s="1636"/>
      <c r="S37" s="1636"/>
      <c r="V37" s="544"/>
      <c r="AB37" s="1632"/>
      <c r="AC37" s="1632"/>
      <c r="AD37" s="1632"/>
      <c r="AE37" s="1632"/>
      <c r="AF37" s="1632"/>
      <c r="AG37" s="1160">
        <v>23</v>
      </c>
    </row>
    <row customHeight="1" ht="11.549999999999999">
      <c r="D38" s="1638"/>
      <c r="J38" s="1635"/>
      <c r="AG38" s="1631">
        <v>11</v>
      </c>
    </row>
    <row customHeight="1" ht="27.299999999999997">
      <c r="D39" s="1638"/>
      <c r="E39" s="1253" t="s">
        <v>806</v>
      </c>
      <c r="F39" s="2285" t="s">
        <v>807</v>
      </c>
      <c r="G39" s="2285"/>
      <c r="H39" s="369"/>
      <c r="I39" s="369"/>
      <c r="J39" s="1687"/>
      <c r="K39" s="369"/>
      <c r="AG39" s="1631">
        <v>26</v>
      </c>
    </row>
    <row s="1641" customFormat="1" customHeight="1" ht="39.75">
      <c r="A40" s="987"/>
      <c r="B40" s="1636"/>
      <c r="C40" s="1636"/>
      <c r="D40" s="351"/>
      <c r="F40" s="2285" t="s">
        <v>808</v>
      </c>
      <c r="G40" s="2285"/>
      <c r="H40" s="369"/>
      <c r="I40" s="369"/>
      <c r="J40" s="1687"/>
      <c r="K40" s="369"/>
      <c r="L40" s="1160"/>
      <c r="M40" s="1636"/>
      <c r="N40" s="1636"/>
      <c r="O40" s="1160"/>
      <c r="P40" s="1160"/>
      <c r="Q40" s="1160"/>
      <c r="R40" s="1160"/>
      <c r="S40" s="1636"/>
      <c r="T40" s="1160"/>
      <c r="U40" s="1160"/>
      <c r="V40" s="544"/>
      <c r="W40" s="1160"/>
      <c r="X40" s="1160"/>
      <c r="Y40" s="1160"/>
      <c r="Z40" s="1160"/>
      <c r="AA40" s="1160"/>
      <c r="AB40" s="1632"/>
      <c r="AC40" s="566"/>
      <c r="AD40" s="566"/>
      <c r="AE40" s="566"/>
      <c r="AF40" s="566"/>
      <c r="AG40" s="1641">
        <v>38</v>
      </c>
    </row>
    <row s="1641" customFormat="1" customHeight="1" ht="11.549999999999999">
      <c r="A41" s="987"/>
      <c r="B41" s="1636"/>
      <c r="C41" s="1636"/>
      <c r="D41" s="351"/>
      <c r="J41" s="1641"/>
      <c r="L41" s="1160"/>
      <c r="M41" s="1636"/>
      <c r="N41" s="1636"/>
      <c r="O41" s="1160"/>
      <c r="P41" s="1160"/>
      <c r="Q41" s="1160"/>
      <c r="R41" s="1160"/>
      <c r="S41" s="1636"/>
      <c r="T41" s="1160"/>
      <c r="U41" s="1160"/>
      <c r="V41" s="544"/>
      <c r="W41" s="1160"/>
      <c r="X41" s="1160"/>
      <c r="Y41" s="1160"/>
      <c r="Z41" s="1160"/>
      <c r="AA41" s="1160"/>
      <c r="AB41" s="1632"/>
      <c r="AC41" s="566"/>
      <c r="AD41" s="566"/>
      <c r="AE41" s="566"/>
      <c r="AF41" s="566"/>
      <c r="AG41" s="1641">
        <v>11</v>
      </c>
    </row>
    <row s="1641" customFormat="1" customHeight="1" ht="11.549999999999999">
      <c r="A42" s="987"/>
      <c r="B42" s="1636"/>
      <c r="C42" s="1636"/>
      <c r="D42" s="351"/>
      <c r="J42" s="1641"/>
      <c r="L42" s="1160"/>
      <c r="M42" s="1636"/>
      <c r="N42" s="1636"/>
      <c r="O42" s="1160"/>
      <c r="P42" s="1160"/>
      <c r="Q42" s="1160"/>
      <c r="R42" s="1160"/>
      <c r="S42" s="1636"/>
      <c r="T42" s="1160"/>
      <c r="U42" s="1160"/>
      <c r="V42" s="544"/>
      <c r="W42" s="1160"/>
      <c r="X42" s="1160"/>
      <c r="Y42" s="1160"/>
      <c r="Z42" s="1160"/>
      <c r="AA42" s="1160"/>
      <c r="AB42" s="1632"/>
      <c r="AC42" s="566"/>
      <c r="AD42" s="566"/>
      <c r="AE42" s="566"/>
      <c r="AF42" s="566"/>
      <c r="AG42" s="1641">
        <v>11</v>
      </c>
    </row>
    <row s="1641" customFormat="1" customHeight="1" ht="11.549999999999999">
      <c r="A43" s="987"/>
      <c r="B43" s="1636"/>
      <c r="C43" s="1636"/>
      <c r="D43" s="351"/>
      <c r="H43" s="566"/>
      <c r="I43" s="566"/>
      <c r="J43" s="622"/>
      <c r="L43" s="1160"/>
      <c r="M43" s="1636"/>
      <c r="N43" s="1636"/>
      <c r="O43" s="1160"/>
      <c r="P43" s="1160"/>
      <c r="Q43" s="1160"/>
      <c r="R43" s="1160"/>
      <c r="S43" s="1636"/>
      <c r="T43" s="1160"/>
      <c r="U43" s="1160"/>
      <c r="V43" s="544"/>
      <c r="W43" s="1160"/>
      <c r="X43" s="1160"/>
      <c r="Y43" s="1160"/>
      <c r="Z43" s="1160"/>
      <c r="AA43" s="1160"/>
      <c r="AB43" s="1632"/>
      <c r="AC43" s="566"/>
      <c r="AD43" s="566"/>
      <c r="AE43" s="566"/>
      <c r="AF43" s="566"/>
      <c r="AG43" s="1641">
        <v>11</v>
      </c>
    </row>
    <row s="1641" customFormat="1" customHeight="1" ht="11.549999999999999">
      <c r="A44" s="987"/>
      <c r="B44" s="1636"/>
      <c r="C44" s="1636"/>
      <c r="D44" s="351"/>
      <c r="J44" s="1641"/>
      <c r="L44" s="1160"/>
      <c r="M44" s="1636"/>
      <c r="N44" s="1636"/>
      <c r="O44" s="1160"/>
      <c r="P44" s="1160"/>
      <c r="Q44" s="1160"/>
      <c r="R44" s="1160"/>
      <c r="S44" s="1636"/>
      <c r="T44" s="1160"/>
      <c r="U44" s="1160"/>
      <c r="V44" s="544"/>
      <c r="W44" s="1160"/>
      <c r="X44" s="1160"/>
      <c r="Y44" s="1160"/>
      <c r="Z44" s="1160"/>
      <c r="AA44" s="1160"/>
      <c r="AB44" s="1632"/>
      <c r="AC44" s="566"/>
      <c r="AD44" s="566"/>
      <c r="AE44" s="566"/>
      <c r="AF44" s="566"/>
      <c r="AG44" s="1641">
        <v>11</v>
      </c>
    </row>
    <row s="1641" customFormat="1" customHeight="1" ht="11.549999999999999">
      <c r="A45" s="987"/>
      <c r="B45" s="1636"/>
      <c r="C45" s="1636"/>
      <c r="D45" s="351"/>
      <c r="J45" s="1641"/>
      <c r="L45" s="1160"/>
      <c r="M45" s="1636"/>
      <c r="N45" s="1636"/>
      <c r="O45" s="1160"/>
      <c r="P45" s="1160"/>
      <c r="Q45" s="1160"/>
      <c r="R45" s="1160"/>
      <c r="S45" s="1636"/>
      <c r="T45" s="1160"/>
      <c r="U45" s="1160"/>
      <c r="V45" s="544"/>
      <c r="W45" s="1160"/>
      <c r="X45" s="1160"/>
      <c r="Y45" s="1160"/>
      <c r="Z45" s="1160"/>
      <c r="AA45" s="1160"/>
      <c r="AB45" s="1632"/>
      <c r="AC45" s="566"/>
      <c r="AD45" s="566"/>
      <c r="AE45" s="566"/>
      <c r="AF45" s="566"/>
      <c r="AG45" s="1641">
        <v>11</v>
      </c>
    </row>
    <row s="1641" customFormat="1" customHeight="1" ht="11.549999999999999">
      <c r="A46" s="987"/>
      <c r="B46" s="1636"/>
      <c r="C46" s="1636"/>
      <c r="D46" s="351"/>
      <c r="J46" s="1641"/>
      <c r="L46" s="1160"/>
      <c r="M46" s="1636"/>
      <c r="N46" s="1636"/>
      <c r="O46" s="1160"/>
      <c r="P46" s="1160"/>
      <c r="Q46" s="1160"/>
      <c r="R46" s="1160"/>
      <c r="S46" s="1636"/>
      <c r="T46" s="1160"/>
      <c r="U46" s="1160"/>
      <c r="V46" s="544"/>
      <c r="W46" s="1160"/>
      <c r="X46" s="1160"/>
      <c r="Y46" s="1160"/>
      <c r="Z46" s="1160"/>
      <c r="AA46" s="1160"/>
      <c r="AB46" s="1632"/>
      <c r="AC46" s="566"/>
      <c r="AD46" s="566"/>
      <c r="AE46" s="566"/>
      <c r="AF46" s="566"/>
      <c r="AG46" s="1641">
        <v>11</v>
      </c>
    </row>
    <row s="1641" customFormat="1" customHeight="1" ht="11.549999999999999">
      <c r="A47" s="987"/>
      <c r="B47" s="1636"/>
      <c r="C47" s="1636"/>
      <c r="D47" s="351"/>
      <c r="J47" s="1641"/>
      <c r="L47" s="1160"/>
      <c r="M47" s="1636"/>
      <c r="N47" s="1636"/>
      <c r="O47" s="1160"/>
      <c r="P47" s="1160"/>
      <c r="Q47" s="1160"/>
      <c r="R47" s="1160"/>
      <c r="S47" s="1636"/>
      <c r="T47" s="1160"/>
      <c r="U47" s="1160"/>
      <c r="V47" s="544"/>
      <c r="W47" s="1160"/>
      <c r="X47" s="1160"/>
      <c r="Y47" s="1160"/>
      <c r="Z47" s="1160"/>
      <c r="AA47" s="1160"/>
      <c r="AB47" s="1632"/>
      <c r="AC47" s="566"/>
      <c r="AD47" s="566"/>
      <c r="AE47" s="566"/>
      <c r="AF47" s="566"/>
      <c r="AG47" s="1641">
        <v>11</v>
      </c>
    </row>
    <row s="1641" customFormat="1" customHeight="1" ht="11.549999999999999">
      <c r="A48" s="987"/>
      <c r="B48" s="1636"/>
      <c r="C48" s="1636"/>
      <c r="D48" s="351"/>
      <c r="J48" s="1641"/>
      <c r="L48" s="1160"/>
      <c r="M48" s="1636"/>
      <c r="N48" s="1636"/>
      <c r="O48" s="1160"/>
      <c r="P48" s="1160"/>
      <c r="Q48" s="1160"/>
      <c r="R48" s="1160"/>
      <c r="S48" s="1636"/>
      <c r="T48" s="1160"/>
      <c r="U48" s="1160"/>
      <c r="V48" s="544"/>
      <c r="W48" s="1160"/>
      <c r="X48" s="1160"/>
      <c r="Y48" s="1160"/>
      <c r="Z48" s="1160"/>
      <c r="AA48" s="1160"/>
      <c r="AB48" s="1632"/>
      <c r="AC48" s="566"/>
      <c r="AD48" s="566"/>
      <c r="AE48" s="566"/>
      <c r="AF48" s="566"/>
      <c r="AG48" s="1641">
        <v>11</v>
      </c>
    </row>
    <row s="1641" customFormat="1" customHeight="1" ht="11.549999999999999">
      <c r="A49" s="987"/>
      <c r="B49" s="1636"/>
      <c r="C49" s="1636"/>
      <c r="D49" s="351"/>
      <c r="J49" s="1641"/>
      <c r="L49" s="1160"/>
      <c r="M49" s="1636"/>
      <c r="N49" s="1636"/>
      <c r="O49" s="1160"/>
      <c r="P49" s="1160"/>
      <c r="Q49" s="1160"/>
      <c r="R49" s="1160"/>
      <c r="S49" s="1636"/>
      <c r="T49" s="1160"/>
      <c r="U49" s="1160"/>
      <c r="V49" s="544"/>
      <c r="W49" s="1160"/>
      <c r="X49" s="1160"/>
      <c r="Y49" s="1160"/>
      <c r="Z49" s="1160"/>
      <c r="AA49" s="1160"/>
      <c r="AB49" s="1632"/>
      <c r="AC49" s="566"/>
      <c r="AD49" s="566"/>
      <c r="AE49" s="566"/>
      <c r="AF49" s="566"/>
      <c r="AG49" s="1641">
        <v>11</v>
      </c>
    </row>
    <row s="1641" customFormat="1" customHeight="1" ht="11.549999999999999">
      <c r="A50" s="987"/>
      <c r="B50" s="1636"/>
      <c r="C50" s="1636"/>
      <c r="D50" s="351"/>
      <c r="J50" s="1641"/>
      <c r="L50" s="1160"/>
      <c r="M50" s="1636"/>
      <c r="N50" s="1636"/>
      <c r="O50" s="1160"/>
      <c r="P50" s="1160"/>
      <c r="Q50" s="1160"/>
      <c r="R50" s="1160"/>
      <c r="S50" s="1636"/>
      <c r="T50" s="1160"/>
      <c r="U50" s="1160"/>
      <c r="V50" s="544"/>
      <c r="W50" s="1160"/>
      <c r="X50" s="1160"/>
      <c r="Y50" s="1160"/>
      <c r="Z50" s="1160"/>
      <c r="AA50" s="1160"/>
      <c r="AB50" s="1632"/>
      <c r="AC50" s="566"/>
      <c r="AD50" s="566"/>
      <c r="AE50" s="566"/>
      <c r="AF50" s="566"/>
      <c r="AG50" s="1641">
        <v>11</v>
      </c>
    </row>
    <row s="1641" customFormat="1" customHeight="1" ht="11.549999999999999">
      <c r="A51" s="987"/>
      <c r="B51" s="1636"/>
      <c r="C51" s="1636"/>
      <c r="D51" s="351"/>
      <c r="J51" s="1641"/>
      <c r="L51" s="1160"/>
      <c r="M51" s="1636"/>
      <c r="N51" s="1636"/>
      <c r="O51" s="1160"/>
      <c r="P51" s="1160"/>
      <c r="Q51" s="1160"/>
      <c r="R51" s="1160"/>
      <c r="S51" s="1636"/>
      <c r="T51" s="1160"/>
      <c r="U51" s="1160"/>
      <c r="V51" s="544"/>
      <c r="W51" s="1160"/>
      <c r="X51" s="1160"/>
      <c r="Y51" s="1160"/>
      <c r="Z51" s="1160"/>
      <c r="AA51" s="1160"/>
      <c r="AB51" s="1632"/>
      <c r="AC51" s="566"/>
      <c r="AD51" s="566"/>
      <c r="AE51" s="566"/>
      <c r="AF51" s="566"/>
      <c r="AG51" s="1641">
        <v>11</v>
      </c>
    </row>
    <row s="1641" customFormat="1" customHeight="1" ht="11.549999999999999">
      <c r="A52" s="987"/>
      <c r="B52" s="1636"/>
      <c r="C52" s="1636"/>
      <c r="D52" s="351"/>
      <c r="J52" s="1641"/>
      <c r="L52" s="1160"/>
      <c r="M52" s="1636"/>
      <c r="N52" s="1636"/>
      <c r="O52" s="1160"/>
      <c r="P52" s="1160"/>
      <c r="Q52" s="1160"/>
      <c r="R52" s="1160"/>
      <c r="S52" s="1636"/>
      <c r="T52" s="1160"/>
      <c r="U52" s="1160"/>
      <c r="V52" s="544"/>
      <c r="W52" s="1160"/>
      <c r="X52" s="1160"/>
      <c r="Y52" s="1160"/>
      <c r="Z52" s="1160"/>
      <c r="AA52" s="1160"/>
      <c r="AB52" s="1632"/>
      <c r="AC52" s="566"/>
      <c r="AD52" s="566"/>
      <c r="AE52" s="566"/>
      <c r="AF52" s="566"/>
      <c r="AG52" s="1641">
        <v>11</v>
      </c>
    </row>
    <row s="1641" customFormat="1" customHeight="1" ht="11.549999999999999">
      <c r="A53" s="987"/>
      <c r="B53" s="1636"/>
      <c r="C53" s="1636"/>
      <c r="D53" s="351"/>
      <c r="J53" s="1641"/>
      <c r="L53" s="1160"/>
      <c r="M53" s="1636"/>
      <c r="N53" s="1636"/>
      <c r="O53" s="1160"/>
      <c r="P53" s="1160"/>
      <c r="Q53" s="1160"/>
      <c r="R53" s="1160"/>
      <c r="S53" s="1636"/>
      <c r="T53" s="1160"/>
      <c r="U53" s="1160"/>
      <c r="V53" s="544"/>
      <c r="W53" s="1160"/>
      <c r="X53" s="1160"/>
      <c r="Y53" s="1160"/>
      <c r="Z53" s="1160"/>
      <c r="AA53" s="1160"/>
      <c r="AB53" s="1632"/>
      <c r="AC53" s="566"/>
      <c r="AD53" s="566"/>
      <c r="AE53" s="566"/>
      <c r="AF53" s="566"/>
      <c r="AG53" s="1641">
        <v>11</v>
      </c>
    </row>
    <row s="1641" customFormat="1" customHeight="1" ht="11.549999999999999">
      <c r="A54" s="987"/>
      <c r="B54" s="1636"/>
      <c r="C54" s="1636"/>
      <c r="D54" s="351"/>
      <c r="J54" s="1641"/>
      <c r="L54" s="1160"/>
      <c r="M54" s="1636"/>
      <c r="N54" s="1636"/>
      <c r="O54" s="1160"/>
      <c r="P54" s="1160"/>
      <c r="Q54" s="1160"/>
      <c r="R54" s="1160"/>
      <c r="S54" s="1636"/>
      <c r="T54" s="1160"/>
      <c r="U54" s="1160"/>
      <c r="V54" s="544"/>
      <c r="W54" s="1160"/>
      <c r="X54" s="1160"/>
      <c r="Y54" s="1160"/>
      <c r="Z54" s="1160"/>
      <c r="AA54" s="1160"/>
      <c r="AB54" s="1632"/>
      <c r="AC54" s="566"/>
      <c r="AD54" s="566"/>
      <c r="AE54" s="566"/>
      <c r="AF54" s="566"/>
      <c r="AG54" s="1641">
        <v>11</v>
      </c>
    </row>
    <row s="1641" customFormat="1" customHeight="1" ht="11.549999999999999">
      <c r="A55" s="987"/>
      <c r="B55" s="1636"/>
      <c r="C55" s="1636"/>
      <c r="D55" s="351"/>
      <c r="J55" s="1641"/>
      <c r="L55" s="1160"/>
      <c r="M55" s="1636"/>
      <c r="N55" s="1636"/>
      <c r="O55" s="1160"/>
      <c r="P55" s="1160"/>
      <c r="Q55" s="1160"/>
      <c r="R55" s="1160"/>
      <c r="S55" s="1636"/>
      <c r="T55" s="1160"/>
      <c r="U55" s="1160"/>
      <c r="V55" s="544"/>
      <c r="W55" s="1160"/>
      <c r="X55" s="1160"/>
      <c r="Y55" s="1160"/>
      <c r="Z55" s="1160"/>
      <c r="AA55" s="1160"/>
      <c r="AB55" s="1632"/>
      <c r="AC55" s="566"/>
      <c r="AD55" s="566"/>
      <c r="AE55" s="566"/>
      <c r="AF55" s="566"/>
      <c r="AG55" s="1641">
        <v>11</v>
      </c>
    </row>
    <row s="1641" customFormat="1" customHeight="1" ht="11.549999999999999">
      <c r="A56" s="987"/>
      <c r="B56" s="1636"/>
      <c r="C56" s="1636"/>
      <c r="D56" s="351"/>
      <c r="J56" s="1641"/>
      <c r="L56" s="1160"/>
      <c r="M56" s="1636"/>
      <c r="N56" s="1636"/>
      <c r="O56" s="1160"/>
      <c r="P56" s="1160"/>
      <c r="Q56" s="1160"/>
      <c r="R56" s="1160"/>
      <c r="S56" s="1636"/>
      <c r="T56" s="1160"/>
      <c r="U56" s="1160"/>
      <c r="V56" s="544"/>
      <c r="W56" s="1160"/>
      <c r="X56" s="1160"/>
      <c r="Y56" s="1160"/>
      <c r="Z56" s="1160"/>
      <c r="AA56" s="1160"/>
      <c r="AB56" s="1632"/>
      <c r="AC56" s="566"/>
      <c r="AD56" s="566"/>
      <c r="AE56" s="566"/>
      <c r="AF56" s="566"/>
      <c r="AG56" s="1641">
        <v>11</v>
      </c>
    </row>
    <row s="1641" customFormat="1" customHeight="1" ht="11.549999999999999">
      <c r="A57" s="987"/>
      <c r="B57" s="1636"/>
      <c r="C57" s="1636"/>
      <c r="D57" s="351"/>
      <c r="J57" s="1641"/>
      <c r="L57" s="1160"/>
      <c r="M57" s="1636"/>
      <c r="N57" s="1636"/>
      <c r="O57" s="1160"/>
      <c r="P57" s="1160"/>
      <c r="Q57" s="1160"/>
      <c r="R57" s="1160"/>
      <c r="S57" s="1636"/>
      <c r="T57" s="1160"/>
      <c r="U57" s="1160"/>
      <c r="V57" s="544"/>
      <c r="W57" s="1160"/>
      <c r="X57" s="1160"/>
      <c r="Y57" s="1160"/>
      <c r="Z57" s="1160"/>
      <c r="AA57" s="1160"/>
      <c r="AB57" s="1632"/>
      <c r="AC57" s="566"/>
      <c r="AD57" s="566"/>
      <c r="AE57" s="566"/>
      <c r="AF57" s="566"/>
      <c r="AG57" s="1641">
        <v>11</v>
      </c>
    </row>
    <row s="1641" customFormat="1" customHeight="1" ht="11.549999999999999">
      <c r="A58" s="987"/>
      <c r="B58" s="1636"/>
      <c r="C58" s="1636"/>
      <c r="D58" s="351"/>
      <c r="J58" s="1641"/>
      <c r="L58" s="1160"/>
      <c r="M58" s="1636"/>
      <c r="N58" s="1636"/>
      <c r="O58" s="1160"/>
      <c r="P58" s="1160"/>
      <c r="Q58" s="1160"/>
      <c r="R58" s="1160"/>
      <c r="S58" s="1636"/>
      <c r="T58" s="1160"/>
      <c r="U58" s="1160"/>
      <c r="V58" s="544"/>
      <c r="W58" s="1160"/>
      <c r="X58" s="1160"/>
      <c r="Y58" s="1160"/>
      <c r="Z58" s="1160"/>
      <c r="AA58" s="1160"/>
      <c r="AB58" s="1632"/>
      <c r="AC58" s="566"/>
      <c r="AD58" s="566"/>
      <c r="AE58" s="566"/>
      <c r="AF58" s="566"/>
      <c r="AG58" s="1641">
        <v>11</v>
      </c>
    </row>
    <row s="1641" customFormat="1" customHeight="1" ht="11.549999999999999">
      <c r="A59" s="987"/>
      <c r="B59" s="1636"/>
      <c r="C59" s="1636"/>
      <c r="D59" s="351"/>
      <c r="J59" s="1641"/>
      <c r="L59" s="1160"/>
      <c r="M59" s="1636"/>
      <c r="N59" s="1636"/>
      <c r="O59" s="1160"/>
      <c r="P59" s="1160"/>
      <c r="Q59" s="1160"/>
      <c r="R59" s="1160"/>
      <c r="S59" s="1636"/>
      <c r="T59" s="1160"/>
      <c r="U59" s="1160"/>
      <c r="V59" s="544"/>
      <c r="W59" s="1160"/>
      <c r="X59" s="1160"/>
      <c r="Y59" s="1160"/>
      <c r="Z59" s="1160"/>
      <c r="AA59" s="1160"/>
      <c r="AB59" s="1632"/>
      <c r="AC59" s="566"/>
      <c r="AD59" s="566"/>
      <c r="AE59" s="566"/>
      <c r="AF59" s="566"/>
      <c r="AG59" s="1641">
        <v>11</v>
      </c>
    </row>
    <row s="1641" customFormat="1" customHeight="1" ht="11.549999999999999">
      <c r="A60" s="987"/>
      <c r="B60" s="1636"/>
      <c r="C60" s="1636"/>
      <c r="D60" s="351"/>
      <c r="J60" s="1641"/>
      <c r="L60" s="1160"/>
      <c r="M60" s="1636"/>
      <c r="N60" s="1636"/>
      <c r="O60" s="1160"/>
      <c r="P60" s="1160"/>
      <c r="Q60" s="1160"/>
      <c r="R60" s="1160"/>
      <c r="S60" s="1636"/>
      <c r="T60" s="1160"/>
      <c r="U60" s="1160"/>
      <c r="V60" s="544"/>
      <c r="W60" s="1160"/>
      <c r="X60" s="1160"/>
      <c r="Y60" s="1160"/>
      <c r="Z60" s="1160"/>
      <c r="AA60" s="1160"/>
      <c r="AB60" s="1632"/>
      <c r="AC60" s="566"/>
      <c r="AD60" s="566"/>
      <c r="AE60" s="566"/>
      <c r="AF60" s="566"/>
      <c r="AG60" s="1641">
        <v>11</v>
      </c>
    </row>
    <row s="1641" customFormat="1" customHeight="1" ht="11.549999999999999">
      <c r="A61" s="987"/>
      <c r="B61" s="1636"/>
      <c r="C61" s="1636"/>
      <c r="D61" s="351"/>
      <c r="J61" s="1641"/>
      <c r="L61" s="1160"/>
      <c r="M61" s="1636"/>
      <c r="N61" s="1636"/>
      <c r="O61" s="1160"/>
      <c r="P61" s="1160"/>
      <c r="Q61" s="1160"/>
      <c r="R61" s="1160"/>
      <c r="S61" s="1636"/>
      <c r="T61" s="1160"/>
      <c r="U61" s="1160"/>
      <c r="V61" s="544"/>
      <c r="W61" s="1160"/>
      <c r="X61" s="1160"/>
      <c r="Y61" s="1160"/>
      <c r="Z61" s="1160"/>
      <c r="AA61" s="1160"/>
      <c r="AB61" s="1632"/>
      <c r="AC61" s="566"/>
      <c r="AD61" s="566"/>
      <c r="AE61" s="566"/>
      <c r="AF61" s="566"/>
      <c r="AG61" s="1641">
        <v>11</v>
      </c>
    </row>
    <row s="1641" customFormat="1" customHeight="1" ht="11.549999999999999">
      <c r="A62" s="987"/>
      <c r="B62" s="1636"/>
      <c r="C62" s="1636"/>
      <c r="D62" s="351"/>
      <c r="J62" s="1641"/>
      <c r="L62" s="1160"/>
      <c r="M62" s="1636"/>
      <c r="N62" s="1636"/>
      <c r="O62" s="1160"/>
      <c r="P62" s="1160"/>
      <c r="Q62" s="1160"/>
      <c r="R62" s="1160"/>
      <c r="S62" s="1636"/>
      <c r="T62" s="1160"/>
      <c r="U62" s="1160"/>
      <c r="V62" s="544"/>
      <c r="W62" s="1160"/>
      <c r="X62" s="1160"/>
      <c r="Y62" s="1160"/>
      <c r="Z62" s="1160"/>
      <c r="AA62" s="1160"/>
      <c r="AB62" s="1632"/>
      <c r="AC62" s="566"/>
      <c r="AD62" s="566"/>
      <c r="AE62" s="566"/>
      <c r="AF62" s="566"/>
      <c r="AG62" s="1641">
        <v>11</v>
      </c>
    </row>
    <row s="1641" customFormat="1" customHeight="1" ht="11.549999999999999">
      <c r="A63" s="987"/>
      <c r="B63" s="1636"/>
      <c r="C63" s="1636"/>
      <c r="D63" s="351"/>
      <c r="J63" s="1641"/>
      <c r="L63" s="1160"/>
      <c r="M63" s="1636"/>
      <c r="N63" s="1636"/>
      <c r="O63" s="1160"/>
      <c r="P63" s="1160"/>
      <c r="Q63" s="1160"/>
      <c r="R63" s="1160"/>
      <c r="S63" s="1636"/>
      <c r="T63" s="1160"/>
      <c r="U63" s="1160"/>
      <c r="V63" s="544"/>
      <c r="W63" s="1160"/>
      <c r="X63" s="1160"/>
      <c r="Y63" s="1160"/>
      <c r="Z63" s="1160"/>
      <c r="AA63" s="1160"/>
      <c r="AB63" s="1632"/>
      <c r="AC63" s="566"/>
      <c r="AD63" s="566"/>
      <c r="AE63" s="566"/>
      <c r="AF63" s="566"/>
      <c r="AG63" s="1641">
        <v>11</v>
      </c>
    </row>
    <row s="1641" customFormat="1" customHeight="1" ht="11.549999999999999">
      <c r="A64" s="987"/>
      <c r="B64" s="1636"/>
      <c r="C64" s="1636"/>
      <c r="D64" s="351"/>
      <c r="J64" s="1641"/>
      <c r="L64" s="1160"/>
      <c r="M64" s="1636"/>
      <c r="N64" s="1636"/>
      <c r="O64" s="1160"/>
      <c r="P64" s="1160"/>
      <c r="Q64" s="1160"/>
      <c r="R64" s="1160"/>
      <c r="S64" s="1636"/>
      <c r="T64" s="1160"/>
      <c r="U64" s="1160"/>
      <c r="V64" s="544"/>
      <c r="W64" s="1160"/>
      <c r="X64" s="1160"/>
      <c r="Y64" s="1160"/>
      <c r="Z64" s="1160"/>
      <c r="AA64" s="1160"/>
      <c r="AB64" s="1632"/>
      <c r="AC64" s="566"/>
      <c r="AD64" s="566"/>
      <c r="AE64" s="566"/>
      <c r="AF64" s="566"/>
      <c r="AG64" s="1641">
        <v>11</v>
      </c>
    </row>
    <row s="1641" customFormat="1" customHeight="1" ht="11.549999999999999">
      <c r="A65" s="987"/>
      <c r="B65" s="1636"/>
      <c r="C65" s="1636"/>
      <c r="D65" s="351"/>
      <c r="J65" s="1641"/>
      <c r="L65" s="1160"/>
      <c r="M65" s="1636"/>
      <c r="N65" s="1636"/>
      <c r="O65" s="1160"/>
      <c r="P65" s="1160"/>
      <c r="Q65" s="1160"/>
      <c r="R65" s="1160"/>
      <c r="S65" s="1636"/>
      <c r="T65" s="1160"/>
      <c r="U65" s="1160"/>
      <c r="V65" s="544"/>
      <c r="W65" s="1160"/>
      <c r="X65" s="1160"/>
      <c r="Y65" s="1160"/>
      <c r="Z65" s="1160"/>
      <c r="AA65" s="1160"/>
      <c r="AB65" s="1632"/>
      <c r="AC65" s="566"/>
      <c r="AD65" s="566"/>
      <c r="AE65" s="566"/>
      <c r="AF65" s="566"/>
      <c r="AG65" s="1641">
        <v>11</v>
      </c>
    </row>
    <row s="1641" customFormat="1" customHeight="1" ht="11.549999999999999">
      <c r="A66" s="987"/>
      <c r="B66" s="1636"/>
      <c r="C66" s="1636"/>
      <c r="D66" s="351"/>
      <c r="J66" s="1641"/>
      <c r="L66" s="1160"/>
      <c r="M66" s="1636"/>
      <c r="N66" s="1636"/>
      <c r="O66" s="1160"/>
      <c r="P66" s="1160"/>
      <c r="Q66" s="1160"/>
      <c r="R66" s="1160"/>
      <c r="S66" s="1636"/>
      <c r="T66" s="1160"/>
      <c r="U66" s="1160"/>
      <c r="V66" s="544"/>
      <c r="W66" s="1160"/>
      <c r="X66" s="1160"/>
      <c r="Y66" s="1160"/>
      <c r="Z66" s="1160"/>
      <c r="AA66" s="1160"/>
      <c r="AB66" s="1632"/>
      <c r="AC66" s="566"/>
      <c r="AD66" s="566"/>
      <c r="AE66" s="566"/>
      <c r="AF66" s="566"/>
      <c r="AG66" s="1641">
        <v>11</v>
      </c>
    </row>
    <row s="1641" customFormat="1" customHeight="1" ht="11.549999999999999">
      <c r="A67" s="987"/>
      <c r="B67" s="1636"/>
      <c r="C67" s="1636"/>
      <c r="D67" s="351"/>
      <c r="J67" s="1641"/>
      <c r="L67" s="1160"/>
      <c r="M67" s="1636"/>
      <c r="N67" s="1636"/>
      <c r="O67" s="1160"/>
      <c r="P67" s="1160"/>
      <c r="Q67" s="1160"/>
      <c r="R67" s="1160"/>
      <c r="S67" s="1636"/>
      <c r="T67" s="1160"/>
      <c r="U67" s="1160"/>
      <c r="V67" s="544"/>
      <c r="W67" s="1160"/>
      <c r="X67" s="1160"/>
      <c r="Y67" s="1160"/>
      <c r="Z67" s="1160"/>
      <c r="AA67" s="1160"/>
      <c r="AB67" s="1632"/>
      <c r="AC67" s="566"/>
      <c r="AD67" s="566"/>
      <c r="AE67" s="566"/>
      <c r="AF67" s="566"/>
      <c r="AG67" s="1641">
        <v>11</v>
      </c>
    </row>
    <row s="1641" customFormat="1" customHeight="1" ht="11.549999999999999">
      <c r="A68" s="987"/>
      <c r="B68" s="1636"/>
      <c r="C68" s="1636"/>
      <c r="D68" s="351"/>
      <c r="J68" s="1641"/>
      <c r="L68" s="1160"/>
      <c r="M68" s="1636"/>
      <c r="N68" s="1636"/>
      <c r="O68" s="1160"/>
      <c r="P68" s="1160"/>
      <c r="Q68" s="1160"/>
      <c r="R68" s="1160"/>
      <c r="S68" s="1636"/>
      <c r="T68" s="1160"/>
      <c r="U68" s="1160"/>
      <c r="V68" s="544"/>
      <c r="W68" s="1160"/>
      <c r="X68" s="1160"/>
      <c r="Y68" s="1160"/>
      <c r="Z68" s="1160"/>
      <c r="AA68" s="1160"/>
      <c r="AB68" s="1632"/>
      <c r="AC68" s="566"/>
      <c r="AD68" s="566"/>
      <c r="AE68" s="566"/>
      <c r="AF68" s="566"/>
      <c r="AG68" s="1641">
        <v>11</v>
      </c>
    </row>
    <row s="1641" customFormat="1" customHeight="1" ht="11.549999999999999">
      <c r="A69" s="987"/>
      <c r="B69" s="1636"/>
      <c r="C69" s="1636"/>
      <c r="D69" s="351"/>
      <c r="J69" s="1641"/>
      <c r="L69" s="1160"/>
      <c r="M69" s="1636"/>
      <c r="N69" s="1636"/>
      <c r="O69" s="1160"/>
      <c r="P69" s="1160"/>
      <c r="Q69" s="1160"/>
      <c r="R69" s="1160"/>
      <c r="S69" s="1636"/>
      <c r="T69" s="1160"/>
      <c r="U69" s="1160"/>
      <c r="V69" s="544"/>
      <c r="W69" s="1160"/>
      <c r="X69" s="1160"/>
      <c r="Y69" s="1160"/>
      <c r="Z69" s="1160"/>
      <c r="AA69" s="1160"/>
      <c r="AB69" s="1632"/>
      <c r="AC69" s="566"/>
      <c r="AD69" s="566"/>
      <c r="AE69" s="566"/>
      <c r="AF69" s="566"/>
      <c r="AG69" s="1641">
        <v>11</v>
      </c>
    </row>
    <row s="1641" customFormat="1" customHeight="1" ht="11.549999999999999">
      <c r="A70" s="987"/>
      <c r="B70" s="1636"/>
      <c r="C70" s="1636"/>
      <c r="D70" s="351"/>
      <c r="J70" s="1641"/>
      <c r="L70" s="1160"/>
      <c r="M70" s="1636"/>
      <c r="N70" s="1636"/>
      <c r="O70" s="1160"/>
      <c r="P70" s="1160"/>
      <c r="Q70" s="1160"/>
      <c r="R70" s="1160"/>
      <c r="S70" s="1636"/>
      <c r="T70" s="1160"/>
      <c r="U70" s="1160"/>
      <c r="V70" s="544"/>
      <c r="W70" s="1160"/>
      <c r="X70" s="1160"/>
      <c r="Y70" s="1160"/>
      <c r="Z70" s="1160"/>
      <c r="AA70" s="1160"/>
      <c r="AB70" s="1632"/>
      <c r="AC70" s="566"/>
      <c r="AD70" s="566"/>
      <c r="AE70" s="566"/>
      <c r="AF70" s="566"/>
      <c r="AG70" s="1641">
        <v>11</v>
      </c>
    </row>
    <row s="1641" customFormat="1" customHeight="1" ht="11.549999999999999">
      <c r="A71" s="987"/>
      <c r="B71" s="1636"/>
      <c r="C71" s="1636"/>
      <c r="D71" s="351"/>
      <c r="J71" s="1641"/>
      <c r="L71" s="1160"/>
      <c r="M71" s="1636"/>
      <c r="N71" s="1636"/>
      <c r="O71" s="1160"/>
      <c r="P71" s="1160"/>
      <c r="Q71" s="1160"/>
      <c r="R71" s="1160"/>
      <c r="S71" s="1636"/>
      <c r="T71" s="1160"/>
      <c r="U71" s="1160"/>
      <c r="V71" s="544"/>
      <c r="W71" s="1160"/>
      <c r="X71" s="1160"/>
      <c r="Y71" s="1160"/>
      <c r="Z71" s="1160"/>
      <c r="AA71" s="1160"/>
      <c r="AB71" s="1632"/>
      <c r="AC71" s="566"/>
      <c r="AD71" s="566"/>
      <c r="AE71" s="566"/>
      <c r="AF71" s="566"/>
      <c r="AG71" s="1641">
        <v>11</v>
      </c>
    </row>
    <row s="1641" customFormat="1" customHeight="1" ht="11.549999999999999">
      <c r="A72" s="987"/>
      <c r="B72" s="1636"/>
      <c r="C72" s="1636"/>
      <c r="D72" s="351"/>
      <c r="J72" s="1641"/>
      <c r="L72" s="1160"/>
      <c r="M72" s="1636"/>
      <c r="N72" s="1636"/>
      <c r="O72" s="1160"/>
      <c r="P72" s="1160"/>
      <c r="Q72" s="1160"/>
      <c r="R72" s="1160"/>
      <c r="S72" s="1636"/>
      <c r="T72" s="1160"/>
      <c r="U72" s="1160"/>
      <c r="V72" s="544"/>
      <c r="W72" s="1160"/>
      <c r="X72" s="1160"/>
      <c r="Y72" s="1160"/>
      <c r="Z72" s="1160"/>
      <c r="AA72" s="1160"/>
      <c r="AB72" s="1632"/>
      <c r="AC72" s="566"/>
      <c r="AD72" s="566"/>
      <c r="AE72" s="566"/>
      <c r="AF72" s="566"/>
      <c r="AG72" s="1641">
        <v>11</v>
      </c>
    </row>
    <row s="1641" customFormat="1" customHeight="1" ht="11.549999999999999">
      <c r="A73" s="987"/>
      <c r="B73" s="1636"/>
      <c r="C73" s="1636"/>
      <c r="D73" s="351"/>
      <c r="J73" s="1641"/>
      <c r="L73" s="1160"/>
      <c r="M73" s="1636"/>
      <c r="N73" s="1636"/>
      <c r="O73" s="1160"/>
      <c r="P73" s="1160"/>
      <c r="Q73" s="1160"/>
      <c r="R73" s="1160"/>
      <c r="S73" s="1636"/>
      <c r="T73" s="1160"/>
      <c r="U73" s="1160"/>
      <c r="V73" s="544"/>
      <c r="W73" s="1160"/>
      <c r="X73" s="1160"/>
      <c r="Y73" s="1160"/>
      <c r="Z73" s="1160"/>
      <c r="AA73" s="1160"/>
      <c r="AB73" s="1632"/>
      <c r="AC73" s="566"/>
      <c r="AD73" s="566"/>
      <c r="AE73" s="566"/>
      <c r="AF73" s="566"/>
      <c r="AG73" s="1641">
        <v>11</v>
      </c>
    </row>
    <row s="1641" customFormat="1" customHeight="1" ht="11.549999999999999">
      <c r="A74" s="987"/>
      <c r="B74" s="1636"/>
      <c r="C74" s="1636"/>
      <c r="D74" s="351"/>
      <c r="J74" s="1641"/>
      <c r="L74" s="1160"/>
      <c r="M74" s="1636"/>
      <c r="N74" s="1636"/>
      <c r="O74" s="1160"/>
      <c r="P74" s="1160"/>
      <c r="Q74" s="1160"/>
      <c r="R74" s="1160"/>
      <c r="S74" s="1636"/>
      <c r="T74" s="1160"/>
      <c r="U74" s="1160"/>
      <c r="V74" s="544"/>
      <c r="W74" s="1160"/>
      <c r="X74" s="1160"/>
      <c r="Y74" s="1160"/>
      <c r="Z74" s="1160"/>
      <c r="AA74" s="1160"/>
      <c r="AB74" s="1632"/>
      <c r="AC74" s="566"/>
      <c r="AD74" s="566"/>
      <c r="AE74" s="566"/>
      <c r="AF74" s="566"/>
      <c r="AG74" s="1641">
        <v>11</v>
      </c>
    </row>
    <row s="1641" customFormat="1" customHeight="1" ht="11.549999999999999">
      <c r="A75" s="987"/>
      <c r="B75" s="1636"/>
      <c r="C75" s="1636"/>
      <c r="D75" s="351"/>
      <c r="J75" s="1641"/>
      <c r="L75" s="1160"/>
      <c r="M75" s="1636"/>
      <c r="N75" s="1636"/>
      <c r="O75" s="1160"/>
      <c r="P75" s="1160"/>
      <c r="Q75" s="1160"/>
      <c r="R75" s="1160"/>
      <c r="S75" s="1636"/>
      <c r="T75" s="1160"/>
      <c r="U75" s="1160"/>
      <c r="V75" s="544"/>
      <c r="W75" s="1160"/>
      <c r="X75" s="1160"/>
      <c r="Y75" s="1160"/>
      <c r="Z75" s="1160"/>
      <c r="AA75" s="1160"/>
      <c r="AB75" s="1632"/>
      <c r="AC75" s="566"/>
      <c r="AD75" s="566"/>
      <c r="AE75" s="566"/>
      <c r="AF75" s="566"/>
      <c r="AG75" s="1641">
        <v>11</v>
      </c>
    </row>
    <row s="1641" customFormat="1" customHeight="1" ht="11.549999999999999">
      <c r="A76" s="987"/>
      <c r="B76" s="1636"/>
      <c r="C76" s="1636"/>
      <c r="D76" s="351"/>
      <c r="J76" s="1641"/>
      <c r="L76" s="1160"/>
      <c r="M76" s="1636"/>
      <c r="N76" s="1636"/>
      <c r="O76" s="1160"/>
      <c r="P76" s="1160"/>
      <c r="Q76" s="1160"/>
      <c r="R76" s="1160"/>
      <c r="S76" s="1636"/>
      <c r="T76" s="1160"/>
      <c r="U76" s="1160"/>
      <c r="V76" s="544"/>
      <c r="W76" s="1160"/>
      <c r="X76" s="1160"/>
      <c r="Y76" s="1160"/>
      <c r="Z76" s="1160"/>
      <c r="AA76" s="1160"/>
      <c r="AB76" s="1632"/>
      <c r="AC76" s="566"/>
      <c r="AD76" s="566"/>
      <c r="AE76" s="566"/>
      <c r="AF76" s="566"/>
      <c r="AG76" s="1641">
        <v>11</v>
      </c>
    </row>
    <row s="1641" customFormat="1" customHeight="1" ht="11.549999999999999">
      <c r="A77" s="987"/>
      <c r="B77" s="1636"/>
      <c r="C77" s="1636"/>
      <c r="D77" s="351"/>
      <c r="J77" s="1641"/>
      <c r="L77" s="1160"/>
      <c r="M77" s="1636"/>
      <c r="N77" s="1636"/>
      <c r="O77" s="1160"/>
      <c r="P77" s="1160"/>
      <c r="Q77" s="1160"/>
      <c r="R77" s="1160"/>
      <c r="S77" s="1636"/>
      <c r="T77" s="1160"/>
      <c r="U77" s="1160"/>
      <c r="V77" s="544"/>
      <c r="W77" s="1160"/>
      <c r="X77" s="1160"/>
      <c r="Y77" s="1160"/>
      <c r="Z77" s="1160"/>
      <c r="AA77" s="1160"/>
      <c r="AB77" s="1632"/>
      <c r="AC77" s="566"/>
      <c r="AD77" s="566"/>
      <c r="AE77" s="566"/>
      <c r="AF77" s="566"/>
      <c r="AG77" s="1641">
        <v>11</v>
      </c>
    </row>
    <row s="1641" customFormat="1" customHeight="1" ht="11.549999999999999">
      <c r="A78" s="987"/>
      <c r="B78" s="1636"/>
      <c r="C78" s="1636"/>
      <c r="D78" s="351"/>
      <c r="J78" s="1641"/>
      <c r="L78" s="1160"/>
      <c r="M78" s="1636"/>
      <c r="N78" s="1636"/>
      <c r="O78" s="1160"/>
      <c r="P78" s="1160"/>
      <c r="Q78" s="1160"/>
      <c r="R78" s="1160"/>
      <c r="S78" s="1636"/>
      <c r="T78" s="1160"/>
      <c r="U78" s="1160"/>
      <c r="V78" s="544"/>
      <c r="W78" s="1160"/>
      <c r="X78" s="1160"/>
      <c r="Y78" s="1160"/>
      <c r="Z78" s="1160"/>
      <c r="AA78" s="1160"/>
      <c r="AB78" s="1632"/>
      <c r="AC78" s="566"/>
      <c r="AD78" s="566"/>
      <c r="AE78" s="566"/>
      <c r="AF78" s="566"/>
      <c r="AG78" s="1641">
        <v>11</v>
      </c>
    </row>
    <row s="1641" customFormat="1" customHeight="1" ht="11.549999999999999">
      <c r="A79" s="987"/>
      <c r="B79" s="1636"/>
      <c r="C79" s="1636"/>
      <c r="D79" s="351"/>
      <c r="J79" s="1641"/>
      <c r="L79" s="1160"/>
      <c r="M79" s="1636"/>
      <c r="N79" s="1636"/>
      <c r="O79" s="1160"/>
      <c r="P79" s="1160"/>
      <c r="Q79" s="1160"/>
      <c r="R79" s="1160"/>
      <c r="S79" s="1636"/>
      <c r="T79" s="1160"/>
      <c r="U79" s="1160"/>
      <c r="V79" s="544"/>
      <c r="W79" s="1160"/>
      <c r="X79" s="1160"/>
      <c r="Y79" s="1160"/>
      <c r="Z79" s="1160"/>
      <c r="AA79" s="1160"/>
      <c r="AB79" s="1632"/>
      <c r="AC79" s="566"/>
      <c r="AD79" s="566"/>
      <c r="AE79" s="566"/>
      <c r="AF79" s="566"/>
      <c r="AG79" s="1641">
        <v>11</v>
      </c>
    </row>
    <row s="1641" customFormat="1" customHeight="1" ht="11.549999999999999">
      <c r="A80" s="987"/>
      <c r="B80" s="1636"/>
      <c r="C80" s="1636"/>
      <c r="D80" s="351"/>
      <c r="J80" s="1641"/>
      <c r="L80" s="1160"/>
      <c r="M80" s="1636"/>
      <c r="N80" s="1636"/>
      <c r="O80" s="1160"/>
      <c r="P80" s="1160"/>
      <c r="Q80" s="1160"/>
      <c r="R80" s="1160"/>
      <c r="S80" s="1636"/>
      <c r="T80" s="1160"/>
      <c r="U80" s="1160"/>
      <c r="V80" s="544"/>
      <c r="W80" s="1160"/>
      <c r="X80" s="1160"/>
      <c r="Y80" s="1160"/>
      <c r="Z80" s="1160"/>
      <c r="AA80" s="1160"/>
      <c r="AB80" s="1632"/>
      <c r="AC80" s="566"/>
      <c r="AD80" s="566"/>
      <c r="AE80" s="566"/>
      <c r="AF80" s="566"/>
      <c r="AG80" s="1641">
        <v>11</v>
      </c>
    </row>
    <row s="1641" customFormat="1" customHeight="1" ht="11.549999999999999">
      <c r="A81" s="987"/>
      <c r="B81" s="1636"/>
      <c r="C81" s="1636"/>
      <c r="D81" s="351"/>
      <c r="J81" s="1641"/>
      <c r="L81" s="1160"/>
      <c r="M81" s="1636"/>
      <c r="N81" s="1636"/>
      <c r="O81" s="1160"/>
      <c r="P81" s="1160"/>
      <c r="Q81" s="1160"/>
      <c r="R81" s="1160"/>
      <c r="S81" s="1636"/>
      <c r="T81" s="1160"/>
      <c r="U81" s="1160"/>
      <c r="V81" s="544"/>
      <c r="W81" s="1160"/>
      <c r="X81" s="1160"/>
      <c r="Y81" s="1160"/>
      <c r="Z81" s="1160"/>
      <c r="AA81" s="1160"/>
      <c r="AB81" s="1632"/>
      <c r="AC81" s="566"/>
      <c r="AD81" s="566"/>
      <c r="AE81" s="566"/>
      <c r="AF81" s="566"/>
      <c r="AG81" s="1641">
        <v>11</v>
      </c>
    </row>
    <row s="1641" customFormat="1" customHeight="1" ht="11.549999999999999">
      <c r="A82" s="987"/>
      <c r="B82" s="1636"/>
      <c r="C82" s="1636"/>
      <c r="D82" s="351"/>
      <c r="J82" s="1641"/>
      <c r="L82" s="1160"/>
      <c r="M82" s="1636"/>
      <c r="N82" s="1636"/>
      <c r="O82" s="1160"/>
      <c r="P82" s="1160"/>
      <c r="Q82" s="1160"/>
      <c r="R82" s="1160"/>
      <c r="S82" s="1636"/>
      <c r="T82" s="1160"/>
      <c r="U82" s="1160"/>
      <c r="V82" s="544"/>
      <c r="W82" s="1160"/>
      <c r="X82" s="1160"/>
      <c r="Y82" s="1160"/>
      <c r="Z82" s="1160"/>
      <c r="AA82" s="1160"/>
      <c r="AB82" s="1632"/>
      <c r="AC82" s="566"/>
      <c r="AD82" s="566"/>
      <c r="AE82" s="566"/>
      <c r="AF82" s="566"/>
      <c r="AG82" s="1641">
        <v>11</v>
      </c>
    </row>
    <row s="1641" customFormat="1" customHeight="1" ht="11.549999999999999">
      <c r="A83" s="987"/>
      <c r="B83" s="1636"/>
      <c r="C83" s="1636"/>
      <c r="D83" s="351"/>
      <c r="J83" s="1641"/>
      <c r="L83" s="1160"/>
      <c r="M83" s="1636"/>
      <c r="N83" s="1636"/>
      <c r="O83" s="1160"/>
      <c r="P83" s="1160"/>
      <c r="Q83" s="1160"/>
      <c r="R83" s="1160"/>
      <c r="S83" s="1636"/>
      <c r="T83" s="1160"/>
      <c r="U83" s="1160"/>
      <c r="V83" s="544"/>
      <c r="W83" s="1160"/>
      <c r="X83" s="1160"/>
      <c r="Y83" s="1160"/>
      <c r="Z83" s="1160"/>
      <c r="AA83" s="1160"/>
      <c r="AB83" s="1632"/>
      <c r="AC83" s="566"/>
      <c r="AD83" s="566"/>
      <c r="AE83" s="566"/>
      <c r="AF83" s="566"/>
      <c r="AG83" s="1641">
        <v>11</v>
      </c>
    </row>
    <row s="1641" customFormat="1" customHeight="1" ht="11.549999999999999">
      <c r="A84" s="987"/>
      <c r="B84" s="1636"/>
      <c r="C84" s="1636"/>
      <c r="D84" s="351"/>
      <c r="J84" s="1641"/>
      <c r="L84" s="1160"/>
      <c r="M84" s="1636"/>
      <c r="N84" s="1636"/>
      <c r="O84" s="1160"/>
      <c r="P84" s="1160"/>
      <c r="Q84" s="1160"/>
      <c r="R84" s="1160"/>
      <c r="S84" s="1636"/>
      <c r="T84" s="1160"/>
      <c r="U84" s="1160"/>
      <c r="V84" s="544"/>
      <c r="W84" s="1160"/>
      <c r="X84" s="1160"/>
      <c r="Y84" s="1160"/>
      <c r="Z84" s="1160"/>
      <c r="AA84" s="1160"/>
      <c r="AB84" s="1632"/>
      <c r="AC84" s="566"/>
      <c r="AD84" s="566"/>
      <c r="AE84" s="566"/>
      <c r="AF84" s="566"/>
      <c r="AG84" s="1641">
        <v>11</v>
      </c>
    </row>
    <row s="1641" customFormat="1" customHeight="1" ht="11.549999999999999">
      <c r="A85" s="987"/>
      <c r="B85" s="1636"/>
      <c r="C85" s="1636"/>
      <c r="D85" s="351"/>
      <c r="J85" s="1641"/>
      <c r="L85" s="1160"/>
      <c r="M85" s="1636"/>
      <c r="N85" s="1636"/>
      <c r="O85" s="1160"/>
      <c r="P85" s="1160"/>
      <c r="Q85" s="1160"/>
      <c r="R85" s="1160"/>
      <c r="S85" s="1636"/>
      <c r="T85" s="1160"/>
      <c r="U85" s="1160"/>
      <c r="V85" s="544"/>
      <c r="W85" s="1160"/>
      <c r="X85" s="1160"/>
      <c r="Y85" s="1160"/>
      <c r="Z85" s="1160"/>
      <c r="AA85" s="1160"/>
      <c r="AB85" s="1632"/>
      <c r="AC85" s="566"/>
      <c r="AD85" s="566"/>
      <c r="AE85" s="566"/>
      <c r="AF85" s="566"/>
      <c r="AG85" s="1641">
        <v>11</v>
      </c>
    </row>
    <row s="1641" customFormat="1" customHeight="1" ht="11.549999999999999">
      <c r="A86" s="987"/>
      <c r="B86" s="1636"/>
      <c r="C86" s="1636"/>
      <c r="D86" s="351"/>
      <c r="J86" s="1641"/>
      <c r="L86" s="1160"/>
      <c r="M86" s="1636"/>
      <c r="N86" s="1636"/>
      <c r="O86" s="1160"/>
      <c r="P86" s="1160"/>
      <c r="Q86" s="1160"/>
      <c r="R86" s="1160"/>
      <c r="S86" s="1636"/>
      <c r="T86" s="1160"/>
      <c r="U86" s="1160"/>
      <c r="V86" s="544"/>
      <c r="W86" s="1160"/>
      <c r="X86" s="1160"/>
      <c r="Y86" s="1160"/>
      <c r="Z86" s="1160"/>
      <c r="AA86" s="1160"/>
      <c r="AB86" s="1632"/>
      <c r="AC86" s="566"/>
      <c r="AD86" s="566"/>
      <c r="AE86" s="566"/>
      <c r="AF86" s="566"/>
      <c r="AG86" s="1641">
        <v>11</v>
      </c>
    </row>
    <row s="1641" customFormat="1" customHeight="1" ht="11.549999999999999">
      <c r="A87" s="987"/>
      <c r="B87" s="1636"/>
      <c r="C87" s="1636"/>
      <c r="D87" s="351"/>
      <c r="J87" s="1641"/>
      <c r="L87" s="1160"/>
      <c r="M87" s="1636"/>
      <c r="N87" s="1636"/>
      <c r="O87" s="1160"/>
      <c r="P87" s="1160"/>
      <c r="Q87" s="1160"/>
      <c r="R87" s="1160"/>
      <c r="S87" s="1636"/>
      <c r="T87" s="1160"/>
      <c r="U87" s="1160"/>
      <c r="V87" s="544"/>
      <c r="W87" s="1160"/>
      <c r="X87" s="1160"/>
      <c r="Y87" s="1160"/>
      <c r="Z87" s="1160"/>
      <c r="AA87" s="1160"/>
      <c r="AB87" s="1632"/>
      <c r="AC87" s="566"/>
      <c r="AD87" s="566"/>
      <c r="AE87" s="566"/>
      <c r="AF87" s="566"/>
      <c r="AG87" s="1641">
        <v>11</v>
      </c>
    </row>
    <row s="1641" customFormat="1" customHeight="1" ht="11.549999999999999">
      <c r="A88" s="987"/>
      <c r="B88" s="1636"/>
      <c r="C88" s="1636"/>
      <c r="D88" s="351"/>
      <c r="J88" s="1641"/>
      <c r="L88" s="1160"/>
      <c r="M88" s="1636"/>
      <c r="N88" s="1636"/>
      <c r="O88" s="1160"/>
      <c r="P88" s="1160"/>
      <c r="Q88" s="1160"/>
      <c r="R88" s="1160"/>
      <c r="S88" s="1636"/>
      <c r="T88" s="1160"/>
      <c r="U88" s="1160"/>
      <c r="V88" s="544"/>
      <c r="W88" s="1160"/>
      <c r="X88" s="1160"/>
      <c r="Y88" s="1160"/>
      <c r="Z88" s="1160"/>
      <c r="AA88" s="1160"/>
      <c r="AB88" s="1632"/>
      <c r="AC88" s="566"/>
      <c r="AD88" s="566"/>
      <c r="AE88" s="566"/>
      <c r="AF88" s="566"/>
      <c r="AG88" s="1641">
        <v>11</v>
      </c>
    </row>
    <row s="1641" customFormat="1" customHeight="1" ht="11.549999999999999">
      <c r="A89" s="987"/>
      <c r="B89" s="1636"/>
      <c r="C89" s="1636"/>
      <c r="D89" s="351"/>
      <c r="J89" s="1641"/>
      <c r="L89" s="1160"/>
      <c r="M89" s="1636"/>
      <c r="N89" s="1636"/>
      <c r="O89" s="1160"/>
      <c r="P89" s="1160"/>
      <c r="Q89" s="1160"/>
      <c r="R89" s="1160"/>
      <c r="S89" s="1636"/>
      <c r="T89" s="1160"/>
      <c r="U89" s="1160"/>
      <c r="V89" s="544"/>
      <c r="W89" s="1160"/>
      <c r="X89" s="1160"/>
      <c r="Y89" s="1160"/>
      <c r="Z89" s="1160"/>
      <c r="AA89" s="1160"/>
      <c r="AB89" s="1632"/>
      <c r="AC89" s="566"/>
      <c r="AD89" s="566"/>
      <c r="AE89" s="566"/>
      <c r="AF89" s="566"/>
      <c r="AG89" s="1641">
        <v>11</v>
      </c>
    </row>
    <row s="1641" customFormat="1" customHeight="1" ht="11.549999999999999">
      <c r="A90" s="987"/>
      <c r="B90" s="1636"/>
      <c r="C90" s="1636"/>
      <c r="D90" s="351"/>
      <c r="J90" s="1641"/>
      <c r="L90" s="1160"/>
      <c r="M90" s="1636"/>
      <c r="N90" s="1636"/>
      <c r="O90" s="1160"/>
      <c r="P90" s="1160"/>
      <c r="Q90" s="1160"/>
      <c r="R90" s="1160"/>
      <c r="S90" s="1636"/>
      <c r="T90" s="1160"/>
      <c r="U90" s="1160"/>
      <c r="V90" s="544"/>
      <c r="W90" s="1160"/>
      <c r="X90" s="1160"/>
      <c r="Y90" s="1160"/>
      <c r="Z90" s="1160"/>
      <c r="AA90" s="1160"/>
      <c r="AB90" s="1632"/>
      <c r="AC90" s="566"/>
      <c r="AD90" s="566"/>
      <c r="AE90" s="566"/>
      <c r="AF90" s="566"/>
      <c r="AG90" s="1641">
        <v>11</v>
      </c>
    </row>
    <row s="1641" customFormat="1" customHeight="1" ht="11.549999999999999">
      <c r="A91" s="987"/>
      <c r="B91" s="1636"/>
      <c r="C91" s="1636"/>
      <c r="D91" s="351"/>
      <c r="J91" s="1641"/>
      <c r="L91" s="1160"/>
      <c r="M91" s="1636"/>
      <c r="N91" s="1636"/>
      <c r="O91" s="1160"/>
      <c r="P91" s="1160"/>
      <c r="Q91" s="1160"/>
      <c r="R91" s="1160"/>
      <c r="S91" s="1636"/>
      <c r="T91" s="1160"/>
      <c r="U91" s="1160"/>
      <c r="V91" s="544"/>
      <c r="W91" s="1160"/>
      <c r="X91" s="1160"/>
      <c r="Y91" s="1160"/>
      <c r="Z91" s="1160"/>
      <c r="AA91" s="1160"/>
      <c r="AB91" s="1632"/>
      <c r="AC91" s="566"/>
      <c r="AD91" s="566"/>
      <c r="AE91" s="566"/>
      <c r="AF91" s="566"/>
      <c r="AG91" s="1641">
        <v>11</v>
      </c>
    </row>
    <row s="1641" customFormat="1" customHeight="1" ht="11.549999999999999">
      <c r="A92" s="987"/>
      <c r="B92" s="1636"/>
      <c r="C92" s="1636"/>
      <c r="D92" s="351"/>
      <c r="J92" s="1641"/>
      <c r="L92" s="1160"/>
      <c r="M92" s="1636"/>
      <c r="N92" s="1636"/>
      <c r="O92" s="1160"/>
      <c r="P92" s="1160"/>
      <c r="Q92" s="1160"/>
      <c r="R92" s="1160"/>
      <c r="S92" s="1636"/>
      <c r="T92" s="1160"/>
      <c r="U92" s="1160"/>
      <c r="V92" s="544"/>
      <c r="W92" s="1160"/>
      <c r="X92" s="1160"/>
      <c r="Y92" s="1160"/>
      <c r="Z92" s="1160"/>
      <c r="AA92" s="1160"/>
      <c r="AB92" s="1632"/>
      <c r="AC92" s="566"/>
      <c r="AD92" s="566"/>
      <c r="AE92" s="566"/>
      <c r="AF92" s="566"/>
      <c r="AG92" s="1641">
        <v>11</v>
      </c>
    </row>
    <row s="1641" customFormat="1" customHeight="1" ht="11.549999999999999">
      <c r="A93" s="987"/>
      <c r="B93" s="1636"/>
      <c r="C93" s="1636"/>
      <c r="D93" s="351"/>
      <c r="J93" s="1641"/>
      <c r="L93" s="1160"/>
      <c r="M93" s="1636"/>
      <c r="N93" s="1636"/>
      <c r="O93" s="1160"/>
      <c r="P93" s="1160"/>
      <c r="Q93" s="1160"/>
      <c r="R93" s="1160"/>
      <c r="S93" s="1636"/>
      <c r="T93" s="1160"/>
      <c r="U93" s="1160"/>
      <c r="V93" s="544"/>
      <c r="W93" s="1160"/>
      <c r="X93" s="1160"/>
      <c r="Y93" s="1160"/>
      <c r="Z93" s="1160"/>
      <c r="AA93" s="1160"/>
      <c r="AB93" s="1632"/>
      <c r="AC93" s="566"/>
      <c r="AD93" s="566"/>
      <c r="AE93" s="566"/>
      <c r="AF93" s="566"/>
      <c r="AG93" s="1641">
        <v>11</v>
      </c>
    </row>
    <row s="1641" customFormat="1" customHeight="1" ht="11.549999999999999">
      <c r="A94" s="987"/>
      <c r="B94" s="1636"/>
      <c r="C94" s="1636"/>
      <c r="D94" s="351"/>
      <c r="J94" s="1641"/>
      <c r="L94" s="1160"/>
      <c r="M94" s="1636"/>
      <c r="N94" s="1636"/>
      <c r="O94" s="1160"/>
      <c r="P94" s="1160"/>
      <c r="Q94" s="1160"/>
      <c r="R94" s="1160"/>
      <c r="S94" s="1636"/>
      <c r="T94" s="1160"/>
      <c r="U94" s="1160"/>
      <c r="V94" s="544"/>
      <c r="W94" s="1160"/>
      <c r="X94" s="1160"/>
      <c r="Y94" s="1160"/>
      <c r="Z94" s="1160"/>
      <c r="AA94" s="1160"/>
      <c r="AB94" s="1632"/>
      <c r="AC94" s="566"/>
      <c r="AD94" s="566"/>
      <c r="AE94" s="566"/>
      <c r="AF94" s="566"/>
      <c r="AG94" s="1641">
        <v>11</v>
      </c>
    </row>
    <row s="1641" customFormat="1" customHeight="1" ht="11.549999999999999">
      <c r="A95" s="987"/>
      <c r="B95" s="1636"/>
      <c r="C95" s="1636"/>
      <c r="D95" s="351"/>
      <c r="J95" s="1641"/>
      <c r="L95" s="1160"/>
      <c r="M95" s="1636"/>
      <c r="N95" s="1636"/>
      <c r="O95" s="1160"/>
      <c r="P95" s="1160"/>
      <c r="Q95" s="1160"/>
      <c r="R95" s="1160"/>
      <c r="S95" s="1636"/>
      <c r="T95" s="1160"/>
      <c r="U95" s="1160"/>
      <c r="V95" s="544"/>
      <c r="W95" s="1160"/>
      <c r="X95" s="1160"/>
      <c r="Y95" s="1160"/>
      <c r="Z95" s="1160"/>
      <c r="AA95" s="1160"/>
      <c r="AB95" s="1632"/>
      <c r="AC95" s="566"/>
      <c r="AD95" s="566"/>
      <c r="AE95" s="566"/>
      <c r="AF95" s="566"/>
      <c r="AG95" s="1641">
        <v>11</v>
      </c>
    </row>
    <row s="1641" customFormat="1" customHeight="1" ht="11.549999999999999">
      <c r="A96" s="987"/>
      <c r="B96" s="1636"/>
      <c r="C96" s="1636"/>
      <c r="D96" s="351"/>
      <c r="J96" s="1641"/>
      <c r="L96" s="1160"/>
      <c r="M96" s="1636"/>
      <c r="N96" s="1636"/>
      <c r="O96" s="1160"/>
      <c r="P96" s="1160"/>
      <c r="Q96" s="1160"/>
      <c r="R96" s="1160"/>
      <c r="S96" s="1636"/>
      <c r="T96" s="1160"/>
      <c r="U96" s="1160"/>
      <c r="V96" s="544"/>
      <c r="W96" s="1160"/>
      <c r="X96" s="1160"/>
      <c r="Y96" s="1160"/>
      <c r="Z96" s="1160"/>
      <c r="AA96" s="1160"/>
      <c r="AB96" s="1632"/>
      <c r="AC96" s="566"/>
      <c r="AD96" s="566"/>
      <c r="AE96" s="566"/>
      <c r="AF96" s="566"/>
      <c r="AG96" s="1641">
        <v>11</v>
      </c>
    </row>
    <row s="1641" customFormat="1" customHeight="1" ht="11.549999999999999">
      <c r="A97" s="987"/>
      <c r="B97" s="1636"/>
      <c r="C97" s="1636"/>
      <c r="D97" s="351"/>
      <c r="J97" s="1641"/>
      <c r="L97" s="1160"/>
      <c r="M97" s="1636"/>
      <c r="N97" s="1636"/>
      <c r="O97" s="1160"/>
      <c r="P97" s="1160"/>
      <c r="Q97" s="1160"/>
      <c r="R97" s="1160"/>
      <c r="S97" s="1636"/>
      <c r="T97" s="1160"/>
      <c r="U97" s="1160"/>
      <c r="V97" s="544"/>
      <c r="W97" s="1160"/>
      <c r="X97" s="1160"/>
      <c r="Y97" s="1160"/>
      <c r="Z97" s="1160"/>
      <c r="AA97" s="1160"/>
      <c r="AB97" s="1632"/>
      <c r="AC97" s="566"/>
      <c r="AD97" s="566"/>
      <c r="AE97" s="566"/>
      <c r="AF97" s="566"/>
      <c r="AG97" s="1641">
        <v>11</v>
      </c>
    </row>
    <row s="1641" customFormat="1" customHeight="1" ht="11.549999999999999">
      <c r="A98" s="987"/>
      <c r="B98" s="1636"/>
      <c r="C98" s="1636"/>
      <c r="D98" s="351"/>
      <c r="J98" s="1641"/>
      <c r="L98" s="1160"/>
      <c r="M98" s="1636"/>
      <c r="N98" s="1636"/>
      <c r="O98" s="1160"/>
      <c r="P98" s="1160"/>
      <c r="Q98" s="1160"/>
      <c r="R98" s="1160"/>
      <c r="S98" s="1636"/>
      <c r="T98" s="1160"/>
      <c r="U98" s="1160"/>
      <c r="V98" s="544"/>
      <c r="W98" s="1160"/>
      <c r="X98" s="1160"/>
      <c r="Y98" s="1160"/>
      <c r="Z98" s="1160"/>
      <c r="AA98" s="1160"/>
      <c r="AB98" s="1632"/>
      <c r="AC98" s="566"/>
      <c r="AD98" s="566"/>
      <c r="AE98" s="566"/>
      <c r="AF98" s="566"/>
      <c r="AG98" s="1641">
        <v>11</v>
      </c>
    </row>
    <row s="1641" customFormat="1" customHeight="1" ht="11.549999999999999">
      <c r="A99" s="987"/>
      <c r="B99" s="1636"/>
      <c r="C99" s="1636"/>
      <c r="D99" s="351"/>
      <c r="J99" s="1641"/>
      <c r="L99" s="1160"/>
      <c r="M99" s="1636"/>
      <c r="N99" s="1636"/>
      <c r="O99" s="1160"/>
      <c r="P99" s="1160"/>
      <c r="Q99" s="1160"/>
      <c r="R99" s="1160"/>
      <c r="S99" s="1636"/>
      <c r="T99" s="1160"/>
      <c r="U99" s="1160"/>
      <c r="V99" s="544"/>
      <c r="W99" s="1160"/>
      <c r="X99" s="1160"/>
      <c r="Y99" s="1160"/>
      <c r="Z99" s="1160"/>
      <c r="AA99" s="1160"/>
      <c r="AB99" s="1632"/>
      <c r="AC99" s="566"/>
      <c r="AD99" s="566"/>
      <c r="AE99" s="566"/>
      <c r="AF99" s="566"/>
      <c r="AG99" s="1641">
        <v>11</v>
      </c>
    </row>
    <row s="1641" customFormat="1" customHeight="1" ht="11.549999999999999">
      <c r="A100" s="987"/>
      <c r="B100" s="1636"/>
      <c r="C100" s="1636"/>
      <c r="D100" s="351"/>
      <c r="J100" s="1641"/>
      <c r="L100" s="1160"/>
      <c r="M100" s="1636"/>
      <c r="N100" s="1636"/>
      <c r="O100" s="1160"/>
      <c r="P100" s="1160"/>
      <c r="Q100" s="1160"/>
      <c r="R100" s="1160"/>
      <c r="S100" s="1636"/>
      <c r="T100" s="1160"/>
      <c r="U100" s="1160"/>
      <c r="V100" s="544"/>
      <c r="W100" s="1160"/>
      <c r="X100" s="1160"/>
      <c r="Y100" s="1160"/>
      <c r="Z100" s="1160"/>
      <c r="AA100" s="1160"/>
      <c r="AB100" s="1632"/>
      <c r="AC100" s="566"/>
      <c r="AD100" s="566"/>
      <c r="AE100" s="566"/>
      <c r="AF100" s="566"/>
      <c r="AG100" s="1641">
        <v>11</v>
      </c>
    </row>
    <row s="1641" customFormat="1" customHeight="1" ht="11.549999999999999">
      <c r="A101" s="987"/>
      <c r="B101" s="1636"/>
      <c r="C101" s="1636"/>
      <c r="D101" s="351"/>
      <c r="J101" s="1641"/>
      <c r="L101" s="1160"/>
      <c r="M101" s="1636"/>
      <c r="N101" s="1636"/>
      <c r="O101" s="1160"/>
      <c r="P101" s="1160"/>
      <c r="Q101" s="1160"/>
      <c r="R101" s="1160"/>
      <c r="S101" s="1636"/>
      <c r="T101" s="1160"/>
      <c r="U101" s="1160"/>
      <c r="V101" s="544"/>
      <c r="W101" s="1160"/>
      <c r="X101" s="1160"/>
      <c r="Y101" s="1160"/>
      <c r="Z101" s="1160"/>
      <c r="AA101" s="1160"/>
      <c r="AB101" s="1632"/>
      <c r="AC101" s="566"/>
      <c r="AD101" s="566"/>
      <c r="AE101" s="566"/>
      <c r="AF101" s="566"/>
      <c r="AG101" s="1641">
        <v>11</v>
      </c>
    </row>
    <row s="1641" customFormat="1" customHeight="1" ht="11.549999999999999">
      <c r="A102" s="987"/>
      <c r="B102" s="1636"/>
      <c r="C102" s="1636"/>
      <c r="D102" s="351"/>
      <c r="J102" s="1641"/>
      <c r="L102" s="1160"/>
      <c r="M102" s="1636"/>
      <c r="N102" s="1636"/>
      <c r="O102" s="1160"/>
      <c r="P102" s="1160"/>
      <c r="Q102" s="1160"/>
      <c r="R102" s="1160"/>
      <c r="S102" s="1636"/>
      <c r="T102" s="1160"/>
      <c r="U102" s="1160"/>
      <c r="V102" s="544"/>
      <c r="W102" s="1160"/>
      <c r="X102" s="1160"/>
      <c r="Y102" s="1160"/>
      <c r="Z102" s="1160"/>
      <c r="AA102" s="1160"/>
      <c r="AB102" s="1632"/>
      <c r="AC102" s="566"/>
      <c r="AD102" s="566"/>
      <c r="AE102" s="566"/>
      <c r="AF102" s="566"/>
      <c r="AG102" s="1641">
        <v>11</v>
      </c>
    </row>
    <row s="1641" customFormat="1" customHeight="1" ht="11.549999999999999">
      <c r="A103" s="987"/>
      <c r="B103" s="1636"/>
      <c r="C103" s="1636"/>
      <c r="D103" s="351"/>
      <c r="J103" s="1641"/>
      <c r="L103" s="1160"/>
      <c r="M103" s="1636"/>
      <c r="N103" s="1636"/>
      <c r="O103" s="1160"/>
      <c r="P103" s="1160"/>
      <c r="Q103" s="1160"/>
      <c r="R103" s="1160"/>
      <c r="S103" s="1636"/>
      <c r="T103" s="1160"/>
      <c r="U103" s="1160"/>
      <c r="V103" s="544"/>
      <c r="W103" s="1160"/>
      <c r="X103" s="1160"/>
      <c r="Y103" s="1160"/>
      <c r="Z103" s="1160"/>
      <c r="AA103" s="1160"/>
      <c r="AB103" s="1632"/>
      <c r="AC103" s="566"/>
      <c r="AD103" s="566"/>
      <c r="AE103" s="566"/>
      <c r="AF103" s="566"/>
      <c r="AG103" s="1641">
        <v>11</v>
      </c>
    </row>
    <row s="1641" customFormat="1" customHeight="1" ht="11.549999999999999">
      <c r="A104" s="987"/>
      <c r="B104" s="1636"/>
      <c r="C104" s="1636"/>
      <c r="D104" s="351"/>
      <c r="J104" s="1641"/>
      <c r="L104" s="1160"/>
      <c r="M104" s="1636"/>
      <c r="N104" s="1636"/>
      <c r="O104" s="1160"/>
      <c r="P104" s="1160"/>
      <c r="Q104" s="1160"/>
      <c r="R104" s="1160"/>
      <c r="S104" s="1636"/>
      <c r="T104" s="1160"/>
      <c r="U104" s="1160"/>
      <c r="V104" s="544"/>
      <c r="W104" s="1160"/>
      <c r="X104" s="1160"/>
      <c r="Y104" s="1160"/>
      <c r="Z104" s="1160"/>
      <c r="AA104" s="1160"/>
      <c r="AB104" s="1632"/>
      <c r="AC104" s="566"/>
      <c r="AD104" s="566"/>
      <c r="AE104" s="566"/>
      <c r="AF104" s="566"/>
      <c r="AG104" s="1641">
        <v>11</v>
      </c>
    </row>
    <row s="1641" customFormat="1" customHeight="1" ht="11.549999999999999">
      <c r="A105" s="987"/>
      <c r="B105" s="1636"/>
      <c r="C105" s="1636"/>
      <c r="D105" s="351"/>
      <c r="J105" s="1641"/>
      <c r="L105" s="1160"/>
      <c r="M105" s="1636"/>
      <c r="N105" s="1636"/>
      <c r="O105" s="1160"/>
      <c r="P105" s="1160"/>
      <c r="Q105" s="1160"/>
      <c r="R105" s="1160"/>
      <c r="S105" s="1636"/>
      <c r="T105" s="1160"/>
      <c r="U105" s="1160"/>
      <c r="V105" s="544"/>
      <c r="W105" s="1160"/>
      <c r="X105" s="1160"/>
      <c r="Y105" s="1160"/>
      <c r="Z105" s="1160"/>
      <c r="AA105" s="1160"/>
      <c r="AB105" s="1632"/>
      <c r="AC105" s="566"/>
      <c r="AD105" s="566"/>
      <c r="AE105" s="566"/>
      <c r="AF105" s="566"/>
      <c r="AG105" s="1641">
        <v>11</v>
      </c>
    </row>
    <row s="1641" customFormat="1" customHeight="1" ht="11.549999999999999">
      <c r="A106" s="987"/>
      <c r="B106" s="1636"/>
      <c r="C106" s="1636"/>
      <c r="D106" s="351"/>
      <c r="J106" s="1641"/>
      <c r="L106" s="1160"/>
      <c r="M106" s="1636"/>
      <c r="N106" s="1636"/>
      <c r="O106" s="1160"/>
      <c r="P106" s="1160"/>
      <c r="Q106" s="1160"/>
      <c r="R106" s="1160"/>
      <c r="S106" s="1636"/>
      <c r="T106" s="1160"/>
      <c r="U106" s="1160"/>
      <c r="V106" s="544"/>
      <c r="W106" s="1160"/>
      <c r="X106" s="1160"/>
      <c r="Y106" s="1160"/>
      <c r="Z106" s="1160"/>
      <c r="AA106" s="1160"/>
      <c r="AB106" s="1632"/>
      <c r="AC106" s="566"/>
      <c r="AD106" s="566"/>
      <c r="AE106" s="566"/>
      <c r="AF106" s="566"/>
      <c r="AG106" s="1641">
        <v>11</v>
      </c>
    </row>
    <row s="1641" customFormat="1" customHeight="1" ht="11.549999999999999">
      <c r="A107" s="987"/>
      <c r="B107" s="1636"/>
      <c r="C107" s="1636"/>
      <c r="D107" s="351"/>
      <c r="J107" s="1641"/>
      <c r="L107" s="1160"/>
      <c r="M107" s="1636"/>
      <c r="N107" s="1636"/>
      <c r="O107" s="1160"/>
      <c r="P107" s="1160"/>
      <c r="Q107" s="1160"/>
      <c r="R107" s="1160"/>
      <c r="S107" s="1636"/>
      <c r="T107" s="1160"/>
      <c r="U107" s="1160"/>
      <c r="V107" s="544"/>
      <c r="W107" s="1160"/>
      <c r="X107" s="1160"/>
      <c r="Y107" s="1160"/>
      <c r="Z107" s="1160"/>
      <c r="AA107" s="1160"/>
      <c r="AB107" s="1632"/>
      <c r="AC107" s="566"/>
      <c r="AD107" s="566"/>
      <c r="AE107" s="566"/>
      <c r="AF107" s="566"/>
      <c r="AG107" s="1641">
        <v>11</v>
      </c>
    </row>
    <row s="1641" customFormat="1" customHeight="1" ht="11.549999999999999">
      <c r="A108" s="987"/>
      <c r="B108" s="1636"/>
      <c r="C108" s="1636"/>
      <c r="D108" s="351"/>
      <c r="J108" s="1641"/>
      <c r="L108" s="1160"/>
      <c r="M108" s="1636"/>
      <c r="N108" s="1636"/>
      <c r="O108" s="1160"/>
      <c r="P108" s="1160"/>
      <c r="Q108" s="1160"/>
      <c r="R108" s="1160"/>
      <c r="S108" s="1636"/>
      <c r="T108" s="1160"/>
      <c r="U108" s="1160"/>
      <c r="V108" s="544"/>
      <c r="W108" s="1160"/>
      <c r="X108" s="1160"/>
      <c r="Y108" s="1160"/>
      <c r="Z108" s="1160"/>
      <c r="AA108" s="1160"/>
      <c r="AB108" s="1632"/>
      <c r="AC108" s="566"/>
      <c r="AD108" s="566"/>
      <c r="AE108" s="566"/>
      <c r="AF108" s="566"/>
      <c r="AG108" s="1641">
        <v>11</v>
      </c>
    </row>
    <row s="1641" customFormat="1" customHeight="1" ht="11.549999999999999">
      <c r="A109" s="987"/>
      <c r="B109" s="1636"/>
      <c r="C109" s="1636"/>
      <c r="D109" s="351"/>
      <c r="J109" s="1641"/>
      <c r="L109" s="1160"/>
      <c r="M109" s="1636"/>
      <c r="N109" s="1636"/>
      <c r="O109" s="1160"/>
      <c r="P109" s="1160"/>
      <c r="Q109" s="1160"/>
      <c r="R109" s="1160"/>
      <c r="S109" s="1636"/>
      <c r="T109" s="1160"/>
      <c r="U109" s="1160"/>
      <c r="V109" s="544"/>
      <c r="W109" s="1160"/>
      <c r="X109" s="1160"/>
      <c r="Y109" s="1160"/>
      <c r="Z109" s="1160"/>
      <c r="AA109" s="1160"/>
      <c r="AB109" s="1632"/>
      <c r="AC109" s="566"/>
      <c r="AD109" s="566"/>
      <c r="AE109" s="566"/>
      <c r="AF109" s="566"/>
      <c r="AG109" s="1641">
        <v>11</v>
      </c>
    </row>
    <row s="1641" customFormat="1" customHeight="1" ht="11.549999999999999">
      <c r="A110" s="987"/>
      <c r="B110" s="1636"/>
      <c r="C110" s="1636"/>
      <c r="D110" s="351"/>
      <c r="J110" s="1641"/>
      <c r="L110" s="1160"/>
      <c r="M110" s="1636"/>
      <c r="N110" s="1636"/>
      <c r="O110" s="1160"/>
      <c r="P110" s="1160"/>
      <c r="Q110" s="1160"/>
      <c r="R110" s="1160"/>
      <c r="S110" s="1636"/>
      <c r="T110" s="1160"/>
      <c r="U110" s="1160"/>
      <c r="V110" s="544"/>
      <c r="W110" s="1160"/>
      <c r="X110" s="1160"/>
      <c r="Y110" s="1160"/>
      <c r="Z110" s="1160"/>
      <c r="AA110" s="1160"/>
      <c r="AB110" s="1632"/>
      <c r="AC110" s="566"/>
      <c r="AD110" s="566"/>
      <c r="AE110" s="566"/>
      <c r="AF110" s="566"/>
      <c r="AG110" s="1641">
        <v>11</v>
      </c>
    </row>
    <row s="1641" customFormat="1" customHeight="1" ht="11.549999999999999">
      <c r="A111" s="987"/>
      <c r="B111" s="1636"/>
      <c r="C111" s="1636"/>
      <c r="D111" s="351"/>
      <c r="J111" s="1641"/>
      <c r="L111" s="1160"/>
      <c r="M111" s="1636"/>
      <c r="N111" s="1636"/>
      <c r="O111" s="1160"/>
      <c r="P111" s="1160"/>
      <c r="Q111" s="1160"/>
      <c r="R111" s="1160"/>
      <c r="S111" s="1636"/>
      <c r="T111" s="1160"/>
      <c r="U111" s="1160"/>
      <c r="V111" s="544"/>
      <c r="W111" s="1160"/>
      <c r="X111" s="1160"/>
      <c r="Y111" s="1160"/>
      <c r="Z111" s="1160"/>
      <c r="AA111" s="1160"/>
      <c r="AB111" s="1632"/>
      <c r="AC111" s="566"/>
      <c r="AD111" s="566"/>
      <c r="AE111" s="566"/>
      <c r="AF111" s="566"/>
      <c r="AG111" s="1641">
        <v>11</v>
      </c>
    </row>
    <row s="1641" customFormat="1" customHeight="1" ht="11.549999999999999">
      <c r="A112" s="987"/>
      <c r="B112" s="1636"/>
      <c r="C112" s="1636"/>
      <c r="D112" s="351"/>
      <c r="J112" s="1641"/>
      <c r="L112" s="1160"/>
      <c r="M112" s="1636"/>
      <c r="N112" s="1636"/>
      <c r="O112" s="1160"/>
      <c r="P112" s="1160"/>
      <c r="Q112" s="1160"/>
      <c r="R112" s="1160"/>
      <c r="S112" s="1636"/>
      <c r="T112" s="1160"/>
      <c r="U112" s="1160"/>
      <c r="V112" s="544"/>
      <c r="W112" s="1160"/>
      <c r="X112" s="1160"/>
      <c r="Y112" s="1160"/>
      <c r="Z112" s="1160"/>
      <c r="AA112" s="1160"/>
      <c r="AB112" s="1632"/>
      <c r="AC112" s="566"/>
      <c r="AD112" s="566"/>
      <c r="AE112" s="566"/>
      <c r="AF112" s="566"/>
      <c r="AG112" s="1641">
        <v>11</v>
      </c>
    </row>
    <row s="1641" customFormat="1" customHeight="1" ht="11.549999999999999">
      <c r="A113" s="987"/>
      <c r="B113" s="1636"/>
      <c r="C113" s="1636"/>
      <c r="D113" s="351"/>
      <c r="J113" s="1641"/>
      <c r="L113" s="1160"/>
      <c r="M113" s="1636"/>
      <c r="N113" s="1636"/>
      <c r="O113" s="1160"/>
      <c r="P113" s="1160"/>
      <c r="Q113" s="1160"/>
      <c r="R113" s="1160"/>
      <c r="S113" s="1636"/>
      <c r="T113" s="1160"/>
      <c r="U113" s="1160"/>
      <c r="V113" s="544"/>
      <c r="W113" s="1160"/>
      <c r="X113" s="1160"/>
      <c r="Y113" s="1160"/>
      <c r="Z113" s="1160"/>
      <c r="AA113" s="1160"/>
      <c r="AB113" s="1632"/>
      <c r="AC113" s="566"/>
      <c r="AD113" s="566"/>
      <c r="AE113" s="566"/>
      <c r="AF113" s="566"/>
      <c r="AG113" s="1641">
        <v>11</v>
      </c>
    </row>
    <row s="1641" customFormat="1" customHeight="1" ht="11.549999999999999">
      <c r="A114" s="987"/>
      <c r="B114" s="1636"/>
      <c r="C114" s="1636"/>
      <c r="D114" s="351"/>
      <c r="J114" s="1641"/>
      <c r="L114" s="1160"/>
      <c r="M114" s="1636"/>
      <c r="N114" s="1636"/>
      <c r="O114" s="1160"/>
      <c r="P114" s="1160"/>
      <c r="Q114" s="1160"/>
      <c r="R114" s="1160"/>
      <c r="S114" s="1636"/>
      <c r="T114" s="1160"/>
      <c r="U114" s="1160"/>
      <c r="V114" s="544"/>
      <c r="W114" s="1160"/>
      <c r="X114" s="1160"/>
      <c r="Y114" s="1160"/>
      <c r="Z114" s="1160"/>
      <c r="AA114" s="1160"/>
      <c r="AB114" s="1632"/>
      <c r="AC114" s="566"/>
      <c r="AD114" s="566"/>
      <c r="AE114" s="566"/>
      <c r="AF114" s="566"/>
      <c r="AG114" s="1641">
        <v>11</v>
      </c>
    </row>
    <row s="1641" customFormat="1" customHeight="1" ht="11.549999999999999">
      <c r="A115" s="987"/>
      <c r="B115" s="1636"/>
      <c r="C115" s="1636"/>
      <c r="D115" s="351"/>
      <c r="J115" s="1641"/>
      <c r="L115" s="1160"/>
      <c r="M115" s="1636"/>
      <c r="N115" s="1636"/>
      <c r="O115" s="1160"/>
      <c r="P115" s="1160"/>
      <c r="Q115" s="1160"/>
      <c r="R115" s="1160"/>
      <c r="S115" s="1636"/>
      <c r="T115" s="1160"/>
      <c r="U115" s="1160"/>
      <c r="V115" s="544"/>
      <c r="W115" s="1160"/>
      <c r="X115" s="1160"/>
      <c r="Y115" s="1160"/>
      <c r="Z115" s="1160"/>
      <c r="AA115" s="1160"/>
      <c r="AB115" s="1632"/>
      <c r="AC115" s="566"/>
      <c r="AD115" s="566"/>
      <c r="AE115" s="566"/>
      <c r="AF115" s="566"/>
      <c r="AG115" s="1641">
        <v>11</v>
      </c>
    </row>
    <row s="1641" customFormat="1" customHeight="1" ht="11.549999999999999">
      <c r="A116" s="987"/>
      <c r="B116" s="1636"/>
      <c r="C116" s="1636"/>
      <c r="D116" s="351"/>
      <c r="J116" s="1641"/>
      <c r="L116" s="1160"/>
      <c r="M116" s="1636"/>
      <c r="N116" s="1636"/>
      <c r="O116" s="1160"/>
      <c r="P116" s="1160"/>
      <c r="Q116" s="1160"/>
      <c r="R116" s="1160"/>
      <c r="S116" s="1636"/>
      <c r="T116" s="1160"/>
      <c r="U116" s="1160"/>
      <c r="V116" s="544"/>
      <c r="W116" s="1160"/>
      <c r="X116" s="1160"/>
      <c r="Y116" s="1160"/>
      <c r="Z116" s="1160"/>
      <c r="AA116" s="1160"/>
      <c r="AB116" s="1632"/>
      <c r="AC116" s="566"/>
      <c r="AD116" s="566"/>
      <c r="AE116" s="566"/>
      <c r="AF116" s="566"/>
      <c r="AG116" s="1641">
        <v>11</v>
      </c>
    </row>
    <row s="1641" customFormat="1" customHeight="1" ht="11.549999999999999">
      <c r="A117" s="987"/>
      <c r="B117" s="1636"/>
      <c r="C117" s="1636"/>
      <c r="D117" s="351"/>
      <c r="J117" s="1641"/>
      <c r="L117" s="1160"/>
      <c r="M117" s="1636"/>
      <c r="N117" s="1636"/>
      <c r="O117" s="1160"/>
      <c r="P117" s="1160"/>
      <c r="Q117" s="1160"/>
      <c r="R117" s="1160"/>
      <c r="S117" s="1636"/>
      <c r="T117" s="1160"/>
      <c r="U117" s="1160"/>
      <c r="V117" s="544"/>
      <c r="W117" s="1160"/>
      <c r="X117" s="1160"/>
      <c r="Y117" s="1160"/>
      <c r="Z117" s="1160"/>
      <c r="AA117" s="1160"/>
      <c r="AB117" s="1632"/>
      <c r="AC117" s="566"/>
      <c r="AD117" s="566"/>
      <c r="AE117" s="566"/>
      <c r="AF117" s="566"/>
      <c r="AG117" s="1641">
        <v>11</v>
      </c>
    </row>
    <row s="1641" customFormat="1" customHeight="1" ht="11.549999999999999">
      <c r="A118" s="987"/>
      <c r="B118" s="1636"/>
      <c r="C118" s="1636"/>
      <c r="D118" s="351"/>
      <c r="J118" s="1641"/>
      <c r="L118" s="1160"/>
      <c r="M118" s="1636"/>
      <c r="N118" s="1636"/>
      <c r="O118" s="1160"/>
      <c r="P118" s="1160"/>
      <c r="Q118" s="1160"/>
      <c r="R118" s="1160"/>
      <c r="S118" s="1636"/>
      <c r="T118" s="1160"/>
      <c r="U118" s="1160"/>
      <c r="V118" s="544"/>
      <c r="W118" s="1160"/>
      <c r="X118" s="1160"/>
      <c r="Y118" s="1160"/>
      <c r="Z118" s="1160"/>
      <c r="AA118" s="1160"/>
      <c r="AB118" s="1632"/>
      <c r="AC118" s="566"/>
      <c r="AD118" s="566"/>
      <c r="AE118" s="566"/>
      <c r="AF118" s="566"/>
      <c r="AG118" s="1641">
        <v>11</v>
      </c>
    </row>
    <row s="1641" customFormat="1" customHeight="1" ht="11.549999999999999">
      <c r="A119" s="987"/>
      <c r="B119" s="1636"/>
      <c r="C119" s="1636"/>
      <c r="D119" s="351"/>
      <c r="J119" s="1641"/>
      <c r="L119" s="1160"/>
      <c r="M119" s="1636"/>
      <c r="N119" s="1636"/>
      <c r="O119" s="1160"/>
      <c r="P119" s="1160"/>
      <c r="Q119" s="1160"/>
      <c r="R119" s="1160"/>
      <c r="S119" s="1636"/>
      <c r="T119" s="1160"/>
      <c r="U119" s="1160"/>
      <c r="V119" s="544"/>
      <c r="W119" s="1160"/>
      <c r="X119" s="1160"/>
      <c r="Y119" s="1160"/>
      <c r="Z119" s="1160"/>
      <c r="AA119" s="1160"/>
      <c r="AB119" s="1632"/>
      <c r="AC119" s="566"/>
      <c r="AD119" s="566"/>
      <c r="AE119" s="566"/>
      <c r="AF119" s="566"/>
      <c r="AG119" s="1641">
        <v>11</v>
      </c>
    </row>
    <row s="1641" customFormat="1" customHeight="1" ht="11.549999999999999">
      <c r="A120" s="987"/>
      <c r="B120" s="1636"/>
      <c r="C120" s="1636"/>
      <c r="D120" s="351"/>
      <c r="J120" s="1641"/>
      <c r="L120" s="1160"/>
      <c r="M120" s="1636"/>
      <c r="N120" s="1636"/>
      <c r="O120" s="1160"/>
      <c r="P120" s="1160"/>
      <c r="Q120" s="1160"/>
      <c r="R120" s="1160"/>
      <c r="S120" s="1636"/>
      <c r="T120" s="1160"/>
      <c r="U120" s="1160"/>
      <c r="V120" s="544"/>
      <c r="W120" s="1160"/>
      <c r="X120" s="1160"/>
      <c r="Y120" s="1160"/>
      <c r="Z120" s="1160"/>
      <c r="AA120" s="1160"/>
      <c r="AB120" s="1632"/>
      <c r="AC120" s="566"/>
      <c r="AD120" s="566"/>
      <c r="AE120" s="566"/>
      <c r="AF120" s="566"/>
      <c r="AG120" s="1641">
        <v>11</v>
      </c>
    </row>
    <row s="1641" customFormat="1" customHeight="1" ht="11.549999999999999">
      <c r="A121" s="987"/>
      <c r="B121" s="1636"/>
      <c r="C121" s="1636"/>
      <c r="D121" s="351"/>
      <c r="J121" s="1641"/>
      <c r="L121" s="1160"/>
      <c r="M121" s="1636"/>
      <c r="N121" s="1636"/>
      <c r="O121" s="1160"/>
      <c r="P121" s="1160"/>
      <c r="Q121" s="1160"/>
      <c r="R121" s="1160"/>
      <c r="S121" s="1636"/>
      <c r="T121" s="1160"/>
      <c r="U121" s="1160"/>
      <c r="V121" s="544"/>
      <c r="W121" s="1160"/>
      <c r="X121" s="1160"/>
      <c r="Y121" s="1160"/>
      <c r="Z121" s="1160"/>
      <c r="AA121" s="1160"/>
      <c r="AB121" s="1632"/>
      <c r="AC121" s="566"/>
      <c r="AD121" s="566"/>
      <c r="AE121" s="566"/>
      <c r="AF121" s="566"/>
      <c r="AG121" s="1641">
        <v>11</v>
      </c>
    </row>
    <row s="1641" customFormat="1" customHeight="1" ht="11.549999999999999">
      <c r="A122" s="987"/>
      <c r="B122" s="1636"/>
      <c r="C122" s="1636"/>
      <c r="D122" s="351"/>
      <c r="J122" s="1641"/>
      <c r="L122" s="1160"/>
      <c r="M122" s="1636"/>
      <c r="N122" s="1636"/>
      <c r="O122" s="1160"/>
      <c r="P122" s="1160"/>
      <c r="Q122" s="1160"/>
      <c r="R122" s="1160"/>
      <c r="S122" s="1636"/>
      <c r="T122" s="1160"/>
      <c r="U122" s="1160"/>
      <c r="V122" s="544"/>
      <c r="W122" s="1160"/>
      <c r="X122" s="1160"/>
      <c r="Y122" s="1160"/>
      <c r="Z122" s="1160"/>
      <c r="AA122" s="1160"/>
      <c r="AB122" s="1632"/>
      <c r="AC122" s="566"/>
      <c r="AD122" s="566"/>
      <c r="AE122" s="566"/>
      <c r="AF122" s="566"/>
      <c r="AG122" s="1641">
        <v>11</v>
      </c>
    </row>
    <row s="1641" customFormat="1" customHeight="1" ht="11.549999999999999">
      <c r="A123" s="987"/>
      <c r="B123" s="1636"/>
      <c r="C123" s="1636"/>
      <c r="D123" s="351"/>
      <c r="J123" s="1641"/>
      <c r="L123" s="1160"/>
      <c r="M123" s="1636"/>
      <c r="N123" s="1636"/>
      <c r="O123" s="1160"/>
      <c r="P123" s="1160"/>
      <c r="Q123" s="1160"/>
      <c r="R123" s="1160"/>
      <c r="S123" s="1636"/>
      <c r="T123" s="1160"/>
      <c r="U123" s="1160"/>
      <c r="V123" s="544"/>
      <c r="W123" s="1160"/>
      <c r="X123" s="1160"/>
      <c r="Y123" s="1160"/>
      <c r="Z123" s="1160"/>
      <c r="AA123" s="1160"/>
      <c r="AB123" s="1632"/>
      <c r="AC123" s="566"/>
      <c r="AD123" s="566"/>
      <c r="AE123" s="566"/>
      <c r="AF123" s="566"/>
      <c r="AG123" s="1641">
        <v>11</v>
      </c>
    </row>
    <row s="1641" customFormat="1" customHeight="1" ht="11.549999999999999">
      <c r="A124" s="987"/>
      <c r="B124" s="1636"/>
      <c r="C124" s="1636"/>
      <c r="D124" s="351"/>
      <c r="J124" s="1641"/>
      <c r="L124" s="1160"/>
      <c r="M124" s="1636"/>
      <c r="N124" s="1636"/>
      <c r="O124" s="1160"/>
      <c r="P124" s="1160"/>
      <c r="Q124" s="1160"/>
      <c r="R124" s="1160"/>
      <c r="S124" s="1636"/>
      <c r="T124" s="1160"/>
      <c r="U124" s="1160"/>
      <c r="V124" s="544"/>
      <c r="W124" s="1160"/>
      <c r="X124" s="1160"/>
      <c r="Y124" s="1160"/>
      <c r="Z124" s="1160"/>
      <c r="AA124" s="1160"/>
      <c r="AB124" s="1632"/>
      <c r="AC124" s="566"/>
      <c r="AD124" s="566"/>
      <c r="AE124" s="566"/>
      <c r="AF124" s="566"/>
      <c r="AG124" s="1641">
        <v>11</v>
      </c>
    </row>
    <row s="1641" customFormat="1" customHeight="1" ht="11.549999999999999">
      <c r="A125" s="987"/>
      <c r="B125" s="1636"/>
      <c r="C125" s="1636"/>
      <c r="D125" s="351"/>
      <c r="J125" s="1641"/>
      <c r="L125" s="1160"/>
      <c r="M125" s="1636"/>
      <c r="N125" s="1636"/>
      <c r="O125" s="1160"/>
      <c r="P125" s="1160"/>
      <c r="Q125" s="1160"/>
      <c r="R125" s="1160"/>
      <c r="S125" s="1636"/>
      <c r="T125" s="1160"/>
      <c r="U125" s="1160"/>
      <c r="V125" s="544"/>
      <c r="W125" s="1160"/>
      <c r="X125" s="1160"/>
      <c r="Y125" s="1160"/>
      <c r="Z125" s="1160"/>
      <c r="AA125" s="1160"/>
      <c r="AB125" s="1632"/>
      <c r="AC125" s="566"/>
      <c r="AD125" s="566"/>
      <c r="AE125" s="566"/>
      <c r="AF125" s="566"/>
      <c r="AG125" s="1641">
        <v>11</v>
      </c>
    </row>
    <row s="1641" customFormat="1" customHeight="1" ht="11.549999999999999">
      <c r="A126" s="987"/>
      <c r="B126" s="1636"/>
      <c r="C126" s="1636"/>
      <c r="D126" s="351"/>
      <c r="J126" s="1641"/>
      <c r="L126" s="1160"/>
      <c r="M126" s="1636"/>
      <c r="N126" s="1636"/>
      <c r="O126" s="1160"/>
      <c r="P126" s="1160"/>
      <c r="Q126" s="1160"/>
      <c r="R126" s="1160"/>
      <c r="S126" s="1636"/>
      <c r="T126" s="1160"/>
      <c r="U126" s="1160"/>
      <c r="V126" s="544"/>
      <c r="W126" s="1160"/>
      <c r="X126" s="1160"/>
      <c r="Y126" s="1160"/>
      <c r="Z126" s="1160"/>
      <c r="AA126" s="1160"/>
      <c r="AB126" s="1632"/>
      <c r="AC126" s="566"/>
      <c r="AD126" s="566"/>
      <c r="AE126" s="566"/>
      <c r="AF126" s="566"/>
      <c r="AG126" s="1641">
        <v>11</v>
      </c>
    </row>
    <row s="1641" customFormat="1" customHeight="1" ht="11.549999999999999">
      <c r="A127" s="987"/>
      <c r="B127" s="1636"/>
      <c r="C127" s="1636"/>
      <c r="D127" s="351"/>
      <c r="J127" s="1641"/>
      <c r="L127" s="1160"/>
      <c r="M127" s="1636"/>
      <c r="N127" s="1636"/>
      <c r="O127" s="1160"/>
      <c r="P127" s="1160"/>
      <c r="Q127" s="1160"/>
      <c r="R127" s="1160"/>
      <c r="S127" s="1636"/>
      <c r="T127" s="1160"/>
      <c r="U127" s="1160"/>
      <c r="V127" s="544"/>
      <c r="W127" s="1160"/>
      <c r="X127" s="1160"/>
      <c r="Y127" s="1160"/>
      <c r="Z127" s="1160"/>
      <c r="AA127" s="1160"/>
      <c r="AB127" s="1632"/>
      <c r="AC127" s="566"/>
      <c r="AD127" s="566"/>
      <c r="AE127" s="566"/>
      <c r="AF127" s="566"/>
      <c r="AG127" s="1641">
        <v>11</v>
      </c>
    </row>
    <row s="1641" customFormat="1" customHeight="1" ht="11.549999999999999">
      <c r="A128" s="987"/>
      <c r="B128" s="1636"/>
      <c r="C128" s="1636"/>
      <c r="D128" s="351"/>
      <c r="J128" s="1641"/>
      <c r="L128" s="1160"/>
      <c r="M128" s="1636"/>
      <c r="N128" s="1636"/>
      <c r="O128" s="1160"/>
      <c r="P128" s="1160"/>
      <c r="Q128" s="1160"/>
      <c r="R128" s="1160"/>
      <c r="S128" s="1636"/>
      <c r="T128" s="1160"/>
      <c r="U128" s="1160"/>
      <c r="V128" s="544"/>
      <c r="W128" s="1160"/>
      <c r="X128" s="1160"/>
      <c r="Y128" s="1160"/>
      <c r="Z128" s="1160"/>
      <c r="AA128" s="1160"/>
      <c r="AB128" s="1632"/>
      <c r="AC128" s="566"/>
      <c r="AD128" s="566"/>
      <c r="AE128" s="566"/>
      <c r="AF128" s="566"/>
      <c r="AG128" s="1641">
        <v>11</v>
      </c>
    </row>
    <row s="1641" customFormat="1" customHeight="1" ht="11.549999999999999">
      <c r="A129" s="987"/>
      <c r="B129" s="1636"/>
      <c r="C129" s="1636"/>
      <c r="D129" s="351"/>
      <c r="J129" s="1641"/>
      <c r="L129" s="1160"/>
      <c r="M129" s="1636"/>
      <c r="N129" s="1636"/>
      <c r="O129" s="1160"/>
      <c r="P129" s="1160"/>
      <c r="Q129" s="1160"/>
      <c r="R129" s="1160"/>
      <c r="S129" s="1636"/>
      <c r="T129" s="1160"/>
      <c r="U129" s="1160"/>
      <c r="V129" s="544"/>
      <c r="W129" s="1160"/>
      <c r="X129" s="1160"/>
      <c r="Y129" s="1160"/>
      <c r="Z129" s="1160"/>
      <c r="AA129" s="1160"/>
      <c r="AB129" s="1632"/>
      <c r="AC129" s="566"/>
      <c r="AD129" s="566"/>
      <c r="AE129" s="566"/>
      <c r="AF129" s="566"/>
      <c r="AG129" s="1641">
        <v>11</v>
      </c>
    </row>
    <row s="1641" customFormat="1" customHeight="1" ht="11.549999999999999">
      <c r="A130" s="987"/>
      <c r="B130" s="1636"/>
      <c r="C130" s="1636"/>
      <c r="D130" s="351"/>
      <c r="J130" s="1641"/>
      <c r="L130" s="1160"/>
      <c r="M130" s="1636"/>
      <c r="N130" s="1636"/>
      <c r="O130" s="1160"/>
      <c r="P130" s="1160"/>
      <c r="Q130" s="1160"/>
      <c r="R130" s="1160"/>
      <c r="S130" s="1636"/>
      <c r="T130" s="1160"/>
      <c r="U130" s="1160"/>
      <c r="V130" s="544"/>
      <c r="W130" s="1160"/>
      <c r="X130" s="1160"/>
      <c r="Y130" s="1160"/>
      <c r="Z130" s="1160"/>
      <c r="AA130" s="1160"/>
      <c r="AB130" s="1632"/>
      <c r="AC130" s="566"/>
      <c r="AD130" s="566"/>
      <c r="AE130" s="566"/>
      <c r="AF130" s="566"/>
      <c r="AG130" s="1641">
        <v>11</v>
      </c>
    </row>
    <row s="1641" customFormat="1" customHeight="1" ht="11.549999999999999">
      <c r="A131" s="987"/>
      <c r="B131" s="1636"/>
      <c r="C131" s="1636"/>
      <c r="D131" s="351"/>
      <c r="J131" s="1641"/>
      <c r="L131" s="1160"/>
      <c r="M131" s="1636"/>
      <c r="N131" s="1636"/>
      <c r="O131" s="1160"/>
      <c r="P131" s="1160"/>
      <c r="Q131" s="1160"/>
      <c r="R131" s="1160"/>
      <c r="S131" s="1636"/>
      <c r="T131" s="1160"/>
      <c r="U131" s="1160"/>
      <c r="V131" s="544"/>
      <c r="W131" s="1160"/>
      <c r="X131" s="1160"/>
      <c r="Y131" s="1160"/>
      <c r="Z131" s="1160"/>
      <c r="AA131" s="1160"/>
      <c r="AB131" s="1632"/>
      <c r="AC131" s="566"/>
      <c r="AD131" s="566"/>
      <c r="AE131" s="566"/>
      <c r="AF131" s="566"/>
      <c r="AG131" s="1641">
        <v>11</v>
      </c>
    </row>
    <row s="1641" customFormat="1" customHeight="1" ht="11.549999999999999">
      <c r="A132" s="987"/>
      <c r="B132" s="1636"/>
      <c r="C132" s="1636"/>
      <c r="D132" s="351"/>
      <c r="J132" s="1641"/>
      <c r="L132" s="1160"/>
      <c r="M132" s="1636"/>
      <c r="N132" s="1636"/>
      <c r="O132" s="1160"/>
      <c r="P132" s="1160"/>
      <c r="Q132" s="1160"/>
      <c r="R132" s="1160"/>
      <c r="S132" s="1636"/>
      <c r="T132" s="1160"/>
      <c r="U132" s="1160"/>
      <c r="V132" s="544"/>
      <c r="W132" s="1160"/>
      <c r="X132" s="1160"/>
      <c r="Y132" s="1160"/>
      <c r="Z132" s="1160"/>
      <c r="AA132" s="1160"/>
      <c r="AB132" s="1632"/>
      <c r="AC132" s="566"/>
      <c r="AD132" s="566"/>
      <c r="AE132" s="566"/>
      <c r="AF132" s="566"/>
      <c r="AG132" s="1641">
        <v>11</v>
      </c>
    </row>
    <row s="1641" customFormat="1" customHeight="1" ht="11.549999999999999">
      <c r="A133" s="987"/>
      <c r="B133" s="1636"/>
      <c r="C133" s="1636"/>
      <c r="D133" s="351"/>
      <c r="J133" s="1641"/>
      <c r="L133" s="1160"/>
      <c r="M133" s="1636"/>
      <c r="N133" s="1636"/>
      <c r="O133" s="1160"/>
      <c r="P133" s="1160"/>
      <c r="Q133" s="1160"/>
      <c r="R133" s="1160"/>
      <c r="S133" s="1636"/>
      <c r="T133" s="1160"/>
      <c r="U133" s="1160"/>
      <c r="V133" s="544"/>
      <c r="W133" s="1160"/>
      <c r="X133" s="1160"/>
      <c r="Y133" s="1160"/>
      <c r="Z133" s="1160"/>
      <c r="AA133" s="1160"/>
      <c r="AB133" s="1632"/>
      <c r="AC133" s="566"/>
      <c r="AD133" s="566"/>
      <c r="AE133" s="566"/>
      <c r="AF133" s="566"/>
      <c r="AG133" s="1641">
        <v>11</v>
      </c>
    </row>
    <row s="1641" customFormat="1" customHeight="1" ht="11.549999999999999">
      <c r="A134" s="987"/>
      <c r="B134" s="1636"/>
      <c r="C134" s="1636"/>
      <c r="D134" s="351"/>
      <c r="J134" s="1641"/>
      <c r="L134" s="1160"/>
      <c r="M134" s="1636"/>
      <c r="N134" s="1636"/>
      <c r="O134" s="1160"/>
      <c r="P134" s="1160"/>
      <c r="Q134" s="1160"/>
      <c r="R134" s="1160"/>
      <c r="S134" s="1636"/>
      <c r="T134" s="1160"/>
      <c r="U134" s="1160"/>
      <c r="V134" s="544"/>
      <c r="W134" s="1160"/>
      <c r="X134" s="1160"/>
      <c r="Y134" s="1160"/>
      <c r="Z134" s="1160"/>
      <c r="AA134" s="1160"/>
      <c r="AB134" s="1632"/>
      <c r="AC134" s="566"/>
      <c r="AD134" s="566"/>
      <c r="AE134" s="566"/>
      <c r="AF134" s="566"/>
      <c r="AG134" s="1641">
        <v>11</v>
      </c>
    </row>
    <row s="1641" customFormat="1" customHeight="1" ht="11.549999999999999">
      <c r="A135" s="987"/>
      <c r="B135" s="1636"/>
      <c r="C135" s="1636"/>
      <c r="D135" s="351"/>
      <c r="J135" s="1641"/>
      <c r="L135" s="1160"/>
      <c r="M135" s="1636"/>
      <c r="N135" s="1636"/>
      <c r="O135" s="1160"/>
      <c r="P135" s="1160"/>
      <c r="Q135" s="1160"/>
      <c r="R135" s="1160"/>
      <c r="S135" s="1636"/>
      <c r="T135" s="1160"/>
      <c r="U135" s="1160"/>
      <c r="V135" s="544"/>
      <c r="W135" s="1160"/>
      <c r="X135" s="1160"/>
      <c r="Y135" s="1160"/>
      <c r="Z135" s="1160"/>
      <c r="AA135" s="1160"/>
      <c r="AB135" s="1632"/>
      <c r="AC135" s="566"/>
      <c r="AD135" s="566"/>
      <c r="AE135" s="566"/>
      <c r="AF135" s="566"/>
      <c r="AG135" s="1641">
        <v>11</v>
      </c>
    </row>
    <row s="1641" customFormat="1" customHeight="1" ht="11.549999999999999">
      <c r="A136" s="987"/>
      <c r="B136" s="1636"/>
      <c r="C136" s="1636"/>
      <c r="D136" s="351"/>
      <c r="J136" s="1641"/>
      <c r="L136" s="1160"/>
      <c r="M136" s="1636"/>
      <c r="N136" s="1636"/>
      <c r="O136" s="1160"/>
      <c r="P136" s="1160"/>
      <c r="Q136" s="1160"/>
      <c r="R136" s="1160"/>
      <c r="S136" s="1636"/>
      <c r="T136" s="1160"/>
      <c r="U136" s="1160"/>
      <c r="V136" s="544"/>
      <c r="W136" s="1160"/>
      <c r="X136" s="1160"/>
      <c r="Y136" s="1160"/>
      <c r="Z136" s="1160"/>
      <c r="AA136" s="1160"/>
      <c r="AB136" s="1632"/>
      <c r="AC136" s="566"/>
      <c r="AD136" s="566"/>
      <c r="AE136" s="566"/>
      <c r="AF136" s="566"/>
      <c r="AG136" s="1641">
        <v>11</v>
      </c>
    </row>
    <row s="1641" customFormat="1" customHeight="1" ht="11.549999999999999">
      <c r="A137" s="987"/>
      <c r="B137" s="1636"/>
      <c r="C137" s="1636"/>
      <c r="D137" s="351"/>
      <c r="J137" s="1641"/>
      <c r="L137" s="1160"/>
      <c r="M137" s="1636"/>
      <c r="N137" s="1636"/>
      <c r="O137" s="1160"/>
      <c r="P137" s="1160"/>
      <c r="Q137" s="1160"/>
      <c r="R137" s="1160"/>
      <c r="S137" s="1636"/>
      <c r="T137" s="1160"/>
      <c r="U137" s="1160"/>
      <c r="V137" s="544"/>
      <c r="W137" s="1160"/>
      <c r="X137" s="1160"/>
      <c r="Y137" s="1160"/>
      <c r="Z137" s="1160"/>
      <c r="AA137" s="1160"/>
      <c r="AB137" s="1632"/>
      <c r="AC137" s="566"/>
      <c r="AD137" s="566"/>
      <c r="AE137" s="566"/>
      <c r="AF137" s="566"/>
      <c r="AG137" s="1641">
        <v>11</v>
      </c>
    </row>
    <row s="1641" customFormat="1" customHeight="1" ht="11.549999999999999">
      <c r="A138" s="987"/>
      <c r="B138" s="1636"/>
      <c r="C138" s="1636"/>
      <c r="D138" s="351"/>
      <c r="J138" s="1641"/>
      <c r="L138" s="1160"/>
      <c r="M138" s="1636"/>
      <c r="N138" s="1636"/>
      <c r="O138" s="1160"/>
      <c r="P138" s="1160"/>
      <c r="Q138" s="1160"/>
      <c r="R138" s="1160"/>
      <c r="S138" s="1636"/>
      <c r="T138" s="1160"/>
      <c r="U138" s="1160"/>
      <c r="V138" s="544"/>
      <c r="W138" s="1160"/>
      <c r="X138" s="1160"/>
      <c r="Y138" s="1160"/>
      <c r="Z138" s="1160"/>
      <c r="AA138" s="1160"/>
      <c r="AB138" s="1632"/>
      <c r="AC138" s="566"/>
      <c r="AD138" s="566"/>
      <c r="AE138" s="566"/>
      <c r="AF138" s="566"/>
      <c r="AG138" s="1641">
        <v>11</v>
      </c>
    </row>
    <row s="1641" customFormat="1" customHeight="1" ht="11.549999999999999">
      <c r="A139" s="987"/>
      <c r="B139" s="1636"/>
      <c r="C139" s="1636"/>
      <c r="D139" s="351"/>
      <c r="J139" s="1641"/>
      <c r="L139" s="1160"/>
      <c r="M139" s="1636"/>
      <c r="N139" s="1636"/>
      <c r="O139" s="1160"/>
      <c r="P139" s="1160"/>
      <c r="Q139" s="1160"/>
      <c r="R139" s="1160"/>
      <c r="S139" s="1636"/>
      <c r="T139" s="1160"/>
      <c r="U139" s="1160"/>
      <c r="V139" s="544"/>
      <c r="W139" s="1160"/>
      <c r="X139" s="1160"/>
      <c r="Y139" s="1160"/>
      <c r="Z139" s="1160"/>
      <c r="AA139" s="1160"/>
      <c r="AB139" s="1632"/>
      <c r="AC139" s="566"/>
      <c r="AD139" s="566"/>
      <c r="AE139" s="566"/>
      <c r="AF139" s="566"/>
      <c r="AG139" s="1641">
        <v>11</v>
      </c>
    </row>
    <row s="1641" customFormat="1" customHeight="1" ht="11.549999999999999">
      <c r="A140" s="987"/>
      <c r="B140" s="1636"/>
      <c r="C140" s="1636"/>
      <c r="D140" s="351"/>
      <c r="J140" s="1641"/>
      <c r="L140" s="1160"/>
      <c r="M140" s="1636"/>
      <c r="N140" s="1636"/>
      <c r="O140" s="1160"/>
      <c r="P140" s="1160"/>
      <c r="Q140" s="1160"/>
      <c r="R140" s="1160"/>
      <c r="S140" s="1636"/>
      <c r="T140" s="1160"/>
      <c r="U140" s="1160"/>
      <c r="V140" s="544"/>
      <c r="W140" s="1160"/>
      <c r="X140" s="1160"/>
      <c r="Y140" s="1160"/>
      <c r="Z140" s="1160"/>
      <c r="AA140" s="1160"/>
      <c r="AB140" s="1632"/>
      <c r="AC140" s="566"/>
      <c r="AD140" s="566"/>
      <c r="AE140" s="566"/>
      <c r="AF140" s="566"/>
      <c r="AG140" s="1641">
        <v>11</v>
      </c>
    </row>
    <row s="1641" customFormat="1" customHeight="1" ht="11.549999999999999">
      <c r="A141" s="987"/>
      <c r="B141" s="1636"/>
      <c r="C141" s="1636"/>
      <c r="D141" s="351"/>
      <c r="J141" s="1641"/>
      <c r="L141" s="1160"/>
      <c r="M141" s="1636"/>
      <c r="N141" s="1636"/>
      <c r="O141" s="1160"/>
      <c r="P141" s="1160"/>
      <c r="Q141" s="1160"/>
      <c r="R141" s="1160"/>
      <c r="S141" s="1636"/>
      <c r="T141" s="1160"/>
      <c r="U141" s="1160"/>
      <c r="V141" s="544"/>
      <c r="W141" s="1160"/>
      <c r="X141" s="1160"/>
      <c r="Y141" s="1160"/>
      <c r="Z141" s="1160"/>
      <c r="AA141" s="1160"/>
      <c r="AB141" s="1632"/>
      <c r="AC141" s="566"/>
      <c r="AD141" s="566"/>
      <c r="AE141" s="566"/>
      <c r="AF141" s="566"/>
      <c r="AG141" s="1641">
        <v>11</v>
      </c>
    </row>
    <row s="1641" customFormat="1" customHeight="1" ht="11.549999999999999">
      <c r="A142" s="987"/>
      <c r="B142" s="1636"/>
      <c r="C142" s="1636"/>
      <c r="D142" s="351"/>
      <c r="J142" s="1641"/>
      <c r="L142" s="1160"/>
      <c r="M142" s="1636"/>
      <c r="N142" s="1636"/>
      <c r="O142" s="1160"/>
      <c r="P142" s="1160"/>
      <c r="Q142" s="1160"/>
      <c r="R142" s="1160"/>
      <c r="S142" s="1636"/>
      <c r="T142" s="1160"/>
      <c r="U142" s="1160"/>
      <c r="V142" s="544"/>
      <c r="W142" s="1160"/>
      <c r="X142" s="1160"/>
      <c r="Y142" s="1160"/>
      <c r="Z142" s="1160"/>
      <c r="AA142" s="1160"/>
      <c r="AB142" s="1632"/>
      <c r="AC142" s="566"/>
      <c r="AD142" s="566"/>
      <c r="AE142" s="566"/>
      <c r="AF142" s="566"/>
      <c r="AG142" s="1641">
        <v>11</v>
      </c>
    </row>
    <row s="1641" customFormat="1" customHeight="1" ht="11.549999999999999">
      <c r="A143" s="987"/>
      <c r="B143" s="1636"/>
      <c r="C143" s="1636"/>
      <c r="D143" s="351"/>
      <c r="J143" s="1641"/>
      <c r="L143" s="1160"/>
      <c r="M143" s="1636"/>
      <c r="N143" s="1636"/>
      <c r="O143" s="1160"/>
      <c r="P143" s="1160"/>
      <c r="Q143" s="1160"/>
      <c r="R143" s="1160"/>
      <c r="S143" s="1636"/>
      <c r="T143" s="1160"/>
      <c r="U143" s="1160"/>
      <c r="V143" s="544"/>
      <c r="W143" s="1160"/>
      <c r="X143" s="1160"/>
      <c r="Y143" s="1160"/>
      <c r="Z143" s="1160"/>
      <c r="AA143" s="1160"/>
      <c r="AB143" s="1632"/>
      <c r="AC143" s="566"/>
      <c r="AD143" s="566"/>
      <c r="AE143" s="566"/>
      <c r="AF143" s="566"/>
      <c r="AG143" s="1641">
        <v>11</v>
      </c>
    </row>
    <row s="1641" customFormat="1" customHeight="1" ht="11.549999999999999">
      <c r="A144" s="987"/>
      <c r="B144" s="1636"/>
      <c r="C144" s="1636"/>
      <c r="D144" s="351"/>
      <c r="J144" s="1641"/>
      <c r="L144" s="1160"/>
      <c r="M144" s="1636"/>
      <c r="N144" s="1636"/>
      <c r="O144" s="1160"/>
      <c r="P144" s="1160"/>
      <c r="Q144" s="1160"/>
      <c r="R144" s="1160"/>
      <c r="S144" s="1636"/>
      <c r="T144" s="1160"/>
      <c r="U144" s="1160"/>
      <c r="V144" s="544"/>
      <c r="W144" s="1160"/>
      <c r="X144" s="1160"/>
      <c r="Y144" s="1160"/>
      <c r="Z144" s="1160"/>
      <c r="AA144" s="1160"/>
      <c r="AB144" s="1632"/>
      <c r="AC144" s="566"/>
      <c r="AD144" s="566"/>
      <c r="AE144" s="566"/>
      <c r="AF144" s="566"/>
      <c r="AG144" s="1641">
        <v>11</v>
      </c>
    </row>
    <row s="1641" customFormat="1" customHeight="1" ht="11.549999999999999">
      <c r="A145" s="987"/>
      <c r="B145" s="1636"/>
      <c r="C145" s="1636"/>
      <c r="D145" s="351"/>
      <c r="J145" s="1641"/>
      <c r="L145" s="1160"/>
      <c r="M145" s="1636"/>
      <c r="N145" s="1636"/>
      <c r="O145" s="1160"/>
      <c r="P145" s="1160"/>
      <c r="Q145" s="1160"/>
      <c r="R145" s="1160"/>
      <c r="S145" s="1636"/>
      <c r="T145" s="1160"/>
      <c r="U145" s="1160"/>
      <c r="V145" s="544"/>
      <c r="W145" s="1160"/>
      <c r="X145" s="1160"/>
      <c r="Y145" s="1160"/>
      <c r="Z145" s="1160"/>
      <c r="AA145" s="1160"/>
      <c r="AB145" s="1632"/>
      <c r="AC145" s="566"/>
      <c r="AD145" s="566"/>
      <c r="AE145" s="566"/>
      <c r="AF145" s="566"/>
      <c r="AG145" s="1641">
        <v>11</v>
      </c>
    </row>
    <row s="1641" customFormat="1" customHeight="1" ht="11.549999999999999">
      <c r="A146" s="987"/>
      <c r="B146" s="1636"/>
      <c r="C146" s="1636"/>
      <c r="D146" s="351"/>
      <c r="J146" s="1641"/>
      <c r="L146" s="1160"/>
      <c r="M146" s="1636"/>
      <c r="N146" s="1636"/>
      <c r="O146" s="1160"/>
      <c r="P146" s="1160"/>
      <c r="Q146" s="1160"/>
      <c r="R146" s="1160"/>
      <c r="S146" s="1636"/>
      <c r="T146" s="1160"/>
      <c r="U146" s="1160"/>
      <c r="V146" s="544"/>
      <c r="W146" s="1160"/>
      <c r="X146" s="1160"/>
      <c r="Y146" s="1160"/>
      <c r="Z146" s="1160"/>
      <c r="AA146" s="1160"/>
      <c r="AB146" s="1632"/>
      <c r="AC146" s="566"/>
      <c r="AD146" s="566"/>
      <c r="AE146" s="566"/>
      <c r="AF146" s="566"/>
      <c r="AG146" s="1641">
        <v>11</v>
      </c>
    </row>
    <row s="1641" customFormat="1" customHeight="1" ht="11.549999999999999">
      <c r="A147" s="987"/>
      <c r="B147" s="1636"/>
      <c r="C147" s="1636"/>
      <c r="D147" s="351"/>
      <c r="J147" s="1641"/>
      <c r="L147" s="1160"/>
      <c r="M147" s="1636"/>
      <c r="N147" s="1636"/>
      <c r="O147" s="1160"/>
      <c r="P147" s="1160"/>
      <c r="Q147" s="1160"/>
      <c r="R147" s="1160"/>
      <c r="S147" s="1636"/>
      <c r="T147" s="1160"/>
      <c r="U147" s="1160"/>
      <c r="V147" s="544"/>
      <c r="W147" s="1160"/>
      <c r="X147" s="1160"/>
      <c r="Y147" s="1160"/>
      <c r="Z147" s="1160"/>
      <c r="AA147" s="1160"/>
      <c r="AB147" s="1632"/>
      <c r="AC147" s="566"/>
      <c r="AD147" s="566"/>
      <c r="AE147" s="566"/>
      <c r="AF147" s="566"/>
      <c r="AG147" s="1641">
        <v>11</v>
      </c>
    </row>
    <row s="1641" customFormat="1" customHeight="1" ht="11.549999999999999">
      <c r="A148" s="987"/>
      <c r="B148" s="1636"/>
      <c r="C148" s="1636"/>
      <c r="D148" s="351"/>
      <c r="J148" s="1641"/>
      <c r="L148" s="1160"/>
      <c r="M148" s="1636"/>
      <c r="N148" s="1636"/>
      <c r="O148" s="1160"/>
      <c r="P148" s="1160"/>
      <c r="Q148" s="1160"/>
      <c r="R148" s="1160"/>
      <c r="S148" s="1636"/>
      <c r="T148" s="1160"/>
      <c r="U148" s="1160"/>
      <c r="V148" s="544"/>
      <c r="W148" s="1160"/>
      <c r="X148" s="1160"/>
      <c r="Y148" s="1160"/>
      <c r="Z148" s="1160"/>
      <c r="AA148" s="1160"/>
      <c r="AB148" s="1632"/>
      <c r="AC148" s="566"/>
      <c r="AD148" s="566"/>
      <c r="AE148" s="566"/>
      <c r="AF148" s="566"/>
      <c r="AG148" s="1641">
        <v>11</v>
      </c>
    </row>
    <row s="1641" customFormat="1" customHeight="1" ht="11.549999999999999">
      <c r="A149" s="987"/>
      <c r="B149" s="1636"/>
      <c r="C149" s="1636"/>
      <c r="D149" s="351"/>
      <c r="J149" s="1641"/>
      <c r="L149" s="1160"/>
      <c r="M149" s="1636"/>
      <c r="N149" s="1636"/>
      <c r="O149" s="1160"/>
      <c r="P149" s="1160"/>
      <c r="Q149" s="1160"/>
      <c r="R149" s="1160"/>
      <c r="S149" s="1636"/>
      <c r="T149" s="1160"/>
      <c r="U149" s="1160"/>
      <c r="V149" s="544"/>
      <c r="W149" s="1160"/>
      <c r="X149" s="1160"/>
      <c r="Y149" s="1160"/>
      <c r="Z149" s="1160"/>
      <c r="AA149" s="1160"/>
      <c r="AB149" s="1632"/>
      <c r="AC149" s="566"/>
      <c r="AD149" s="566"/>
      <c r="AE149" s="566"/>
      <c r="AF149" s="566"/>
      <c r="AG149" s="1641">
        <v>11</v>
      </c>
    </row>
    <row s="1641" customFormat="1" customHeight="1" ht="11.549999999999999">
      <c r="A150" s="987"/>
      <c r="B150" s="1636"/>
      <c r="C150" s="1636"/>
      <c r="D150" s="351"/>
      <c r="J150" s="1641"/>
      <c r="L150" s="1160"/>
      <c r="M150" s="1636"/>
      <c r="N150" s="1636"/>
      <c r="O150" s="1160"/>
      <c r="P150" s="1160"/>
      <c r="Q150" s="1160"/>
      <c r="R150" s="1160"/>
      <c r="S150" s="1636"/>
      <c r="T150" s="1160"/>
      <c r="U150" s="1160"/>
      <c r="V150" s="544"/>
      <c r="W150" s="1160"/>
      <c r="X150" s="1160"/>
      <c r="Y150" s="1160"/>
      <c r="Z150" s="1160"/>
      <c r="AA150" s="1160"/>
      <c r="AB150" s="1632"/>
      <c r="AC150" s="566"/>
      <c r="AD150" s="566"/>
      <c r="AE150" s="566"/>
      <c r="AF150" s="566"/>
      <c r="AG150" s="1641">
        <v>11</v>
      </c>
    </row>
    <row s="1641" customFormat="1" customHeight="1" ht="11.549999999999999">
      <c r="A151" s="987"/>
      <c r="B151" s="1636"/>
      <c r="C151" s="1636"/>
      <c r="D151" s="351"/>
      <c r="J151" s="1641"/>
      <c r="L151" s="1160"/>
      <c r="M151" s="1636"/>
      <c r="N151" s="1636"/>
      <c r="O151" s="1160"/>
      <c r="P151" s="1160"/>
      <c r="Q151" s="1160"/>
      <c r="R151" s="1160"/>
      <c r="S151" s="1636"/>
      <c r="T151" s="1160"/>
      <c r="U151" s="1160"/>
      <c r="V151" s="544"/>
      <c r="W151" s="1160"/>
      <c r="X151" s="1160"/>
      <c r="Y151" s="1160"/>
      <c r="Z151" s="1160"/>
      <c r="AA151" s="1160"/>
      <c r="AB151" s="1632"/>
      <c r="AC151" s="566"/>
      <c r="AD151" s="566"/>
      <c r="AE151" s="566"/>
      <c r="AF151" s="566"/>
      <c r="AG151" s="1641">
        <v>11</v>
      </c>
    </row>
    <row s="1641" customFormat="1" customHeight="1" ht="11.549999999999999">
      <c r="A152" s="987"/>
      <c r="B152" s="1636"/>
      <c r="C152" s="1636"/>
      <c r="D152" s="351"/>
      <c r="J152" s="1641"/>
      <c r="L152" s="1160"/>
      <c r="M152" s="1636"/>
      <c r="N152" s="1636"/>
      <c r="O152" s="1160"/>
      <c r="P152" s="1160"/>
      <c r="Q152" s="1160"/>
      <c r="R152" s="1160"/>
      <c r="S152" s="1636"/>
      <c r="T152" s="1160"/>
      <c r="U152" s="1160"/>
      <c r="V152" s="544"/>
      <c r="W152" s="1160"/>
      <c r="X152" s="1160"/>
      <c r="Y152" s="1160"/>
      <c r="Z152" s="1160"/>
      <c r="AA152" s="1160"/>
      <c r="AB152" s="1632"/>
      <c r="AC152" s="566"/>
      <c r="AD152" s="566"/>
      <c r="AE152" s="566"/>
      <c r="AF152" s="566"/>
      <c r="AG152" s="1641">
        <v>11</v>
      </c>
    </row>
    <row s="1641" customFormat="1" customHeight="1" ht="11.549999999999999">
      <c r="A153" s="987"/>
      <c r="B153" s="1636"/>
      <c r="C153" s="1636"/>
      <c r="D153" s="351"/>
      <c r="J153" s="1641"/>
      <c r="L153" s="1160"/>
      <c r="M153" s="1636"/>
      <c r="N153" s="1636"/>
      <c r="O153" s="1160"/>
      <c r="P153" s="1160"/>
      <c r="Q153" s="1160"/>
      <c r="R153" s="1160"/>
      <c r="S153" s="1636"/>
      <c r="T153" s="1160"/>
      <c r="U153" s="1160"/>
      <c r="V153" s="544"/>
      <c r="W153" s="1160"/>
      <c r="X153" s="1160"/>
      <c r="Y153" s="1160"/>
      <c r="Z153" s="1160"/>
      <c r="AA153" s="1160"/>
      <c r="AB153" s="1632"/>
      <c r="AC153" s="566"/>
      <c r="AD153" s="566"/>
      <c r="AE153" s="566"/>
      <c r="AF153" s="566"/>
      <c r="AG153" s="1641">
        <v>11</v>
      </c>
    </row>
    <row s="1641" customFormat="1" customHeight="1" ht="11.549999999999999">
      <c r="A154" s="987"/>
      <c r="B154" s="1636"/>
      <c r="C154" s="1636"/>
      <c r="D154" s="351"/>
      <c r="J154" s="1641"/>
      <c r="L154" s="1160"/>
      <c r="M154" s="1636"/>
      <c r="N154" s="1636"/>
      <c r="O154" s="1160"/>
      <c r="P154" s="1160"/>
      <c r="Q154" s="1160"/>
      <c r="R154" s="1160"/>
      <c r="S154" s="1636"/>
      <c r="T154" s="1160"/>
      <c r="U154" s="1160"/>
      <c r="V154" s="544"/>
      <c r="W154" s="1160"/>
      <c r="X154" s="1160"/>
      <c r="Y154" s="1160"/>
      <c r="Z154" s="1160"/>
      <c r="AA154" s="1160"/>
      <c r="AB154" s="1632"/>
      <c r="AC154" s="566"/>
      <c r="AD154" s="566"/>
      <c r="AE154" s="566"/>
      <c r="AF154" s="566"/>
      <c r="AG154" s="1641">
        <v>11</v>
      </c>
    </row>
    <row s="1641" customFormat="1" customHeight="1" ht="11.549999999999999">
      <c r="A155" s="987"/>
      <c r="B155" s="1636"/>
      <c r="C155" s="1636"/>
      <c r="D155" s="351"/>
      <c r="J155" s="1641"/>
      <c r="L155" s="1160"/>
      <c r="M155" s="1636"/>
      <c r="N155" s="1636"/>
      <c r="O155" s="1160"/>
      <c r="P155" s="1160"/>
      <c r="Q155" s="1160"/>
      <c r="R155" s="1160"/>
      <c r="S155" s="1636"/>
      <c r="T155" s="1160"/>
      <c r="U155" s="1160"/>
      <c r="V155" s="544"/>
      <c r="W155" s="1160"/>
      <c r="X155" s="1160"/>
      <c r="Y155" s="1160"/>
      <c r="Z155" s="1160"/>
      <c r="AA155" s="1160"/>
      <c r="AB155" s="1632"/>
      <c r="AC155" s="566"/>
      <c r="AD155" s="566"/>
      <c r="AE155" s="566"/>
      <c r="AF155" s="566"/>
      <c r="AG155" s="1641">
        <v>11</v>
      </c>
    </row>
    <row s="1641" customFormat="1" customHeight="1" ht="11.549999999999999">
      <c r="A156" s="987"/>
      <c r="B156" s="1636"/>
      <c r="C156" s="1636"/>
      <c r="D156" s="351"/>
      <c r="J156" s="1641"/>
      <c r="L156" s="1160"/>
      <c r="M156" s="1636"/>
      <c r="N156" s="1636"/>
      <c r="O156" s="1160"/>
      <c r="P156" s="1160"/>
      <c r="Q156" s="1160"/>
      <c r="R156" s="1160"/>
      <c r="S156" s="1636"/>
      <c r="T156" s="1160"/>
      <c r="U156" s="1160"/>
      <c r="V156" s="544"/>
      <c r="W156" s="1160"/>
      <c r="X156" s="1160"/>
      <c r="Y156" s="1160"/>
      <c r="Z156" s="1160"/>
      <c r="AA156" s="1160"/>
      <c r="AB156" s="1632"/>
      <c r="AC156" s="566"/>
      <c r="AD156" s="566"/>
      <c r="AE156" s="566"/>
      <c r="AF156" s="566"/>
      <c r="AG156" s="1641">
        <v>11</v>
      </c>
    </row>
    <row s="1641" customFormat="1" customHeight="1" ht="11.549999999999999">
      <c r="A157" s="987"/>
      <c r="B157" s="1636"/>
      <c r="C157" s="1636"/>
      <c r="D157" s="351"/>
      <c r="J157" s="1641"/>
      <c r="L157" s="1160"/>
      <c r="M157" s="1636"/>
      <c r="N157" s="1636"/>
      <c r="O157" s="1160"/>
      <c r="P157" s="1160"/>
      <c r="Q157" s="1160"/>
      <c r="R157" s="1160"/>
      <c r="S157" s="1636"/>
      <c r="T157" s="1160"/>
      <c r="U157" s="1160"/>
      <c r="V157" s="544"/>
      <c r="W157" s="1160"/>
      <c r="X157" s="1160"/>
      <c r="Y157" s="1160"/>
      <c r="Z157" s="1160"/>
      <c r="AA157" s="1160"/>
      <c r="AB157" s="1632"/>
      <c r="AC157" s="566"/>
      <c r="AD157" s="566"/>
      <c r="AE157" s="566"/>
      <c r="AF157" s="566"/>
      <c r="AG157" s="1641">
        <v>11</v>
      </c>
    </row>
    <row s="1641" customFormat="1" customHeight="1" ht="11.549999999999999">
      <c r="A158" s="987"/>
      <c r="B158" s="1636"/>
      <c r="C158" s="1636"/>
      <c r="D158" s="351"/>
      <c r="J158" s="1641"/>
      <c r="L158" s="1160"/>
      <c r="M158" s="1636"/>
      <c r="N158" s="1636"/>
      <c r="O158" s="1160"/>
      <c r="P158" s="1160"/>
      <c r="Q158" s="1160"/>
      <c r="R158" s="1160"/>
      <c r="S158" s="1636"/>
      <c r="T158" s="1160"/>
      <c r="U158" s="1160"/>
      <c r="V158" s="544"/>
      <c r="W158" s="1160"/>
      <c r="X158" s="1160"/>
      <c r="Y158" s="1160"/>
      <c r="Z158" s="1160"/>
      <c r="AA158" s="1160"/>
      <c r="AB158" s="1632"/>
      <c r="AC158" s="566"/>
      <c r="AD158" s="566"/>
      <c r="AE158" s="566"/>
      <c r="AF158" s="566"/>
      <c r="AG158" s="1641">
        <v>11</v>
      </c>
    </row>
    <row s="1641" customFormat="1" customHeight="1" ht="11.549999999999999">
      <c r="A159" s="987"/>
      <c r="B159" s="1636"/>
      <c r="C159" s="1636"/>
      <c r="D159" s="351"/>
      <c r="J159" s="1641"/>
      <c r="L159" s="1160"/>
      <c r="M159" s="1636"/>
      <c r="N159" s="1636"/>
      <c r="O159" s="1160"/>
      <c r="P159" s="1160"/>
      <c r="Q159" s="1160"/>
      <c r="R159" s="1160"/>
      <c r="S159" s="1636"/>
      <c r="T159" s="1160"/>
      <c r="U159" s="1160"/>
      <c r="V159" s="544"/>
      <c r="W159" s="1160"/>
      <c r="X159" s="1160"/>
      <c r="Y159" s="1160"/>
      <c r="Z159" s="1160"/>
      <c r="AA159" s="1160"/>
      <c r="AB159" s="1632"/>
      <c r="AC159" s="566"/>
      <c r="AD159" s="566"/>
      <c r="AE159" s="566"/>
      <c r="AF159" s="566"/>
      <c r="AG159" s="1641">
        <v>11</v>
      </c>
    </row>
    <row s="1641" customFormat="1" customHeight="1" ht="11.549999999999999">
      <c r="A160" s="987"/>
      <c r="B160" s="1636"/>
      <c r="C160" s="1636"/>
      <c r="D160" s="351"/>
      <c r="J160" s="1641"/>
      <c r="L160" s="1160"/>
      <c r="M160" s="1636"/>
      <c r="N160" s="1636"/>
      <c r="O160" s="1160"/>
      <c r="P160" s="1160"/>
      <c r="Q160" s="1160"/>
      <c r="R160" s="1160"/>
      <c r="S160" s="1636"/>
      <c r="T160" s="1160"/>
      <c r="U160" s="1160"/>
      <c r="V160" s="544"/>
      <c r="W160" s="1160"/>
      <c r="X160" s="1160"/>
      <c r="Y160" s="1160"/>
      <c r="Z160" s="1160"/>
      <c r="AA160" s="1160"/>
      <c r="AB160" s="1632"/>
      <c r="AC160" s="566"/>
      <c r="AD160" s="566"/>
      <c r="AE160" s="566"/>
      <c r="AF160" s="566"/>
      <c r="AG160" s="1641">
        <v>11</v>
      </c>
    </row>
    <row s="1641" customFormat="1" customHeight="1" ht="11.549999999999999">
      <c r="A161" s="987"/>
      <c r="B161" s="1636"/>
      <c r="C161" s="1636"/>
      <c r="D161" s="351"/>
      <c r="J161" s="1641"/>
      <c r="L161" s="1160"/>
      <c r="M161" s="1636"/>
      <c r="N161" s="1636"/>
      <c r="O161" s="1160"/>
      <c r="P161" s="1160"/>
      <c r="Q161" s="1160"/>
      <c r="R161" s="1160"/>
      <c r="S161" s="1636"/>
      <c r="T161" s="1160"/>
      <c r="U161" s="1160"/>
      <c r="V161" s="544"/>
      <c r="W161" s="1160"/>
      <c r="X161" s="1160"/>
      <c r="Y161" s="1160"/>
      <c r="Z161" s="1160"/>
      <c r="AA161" s="1160"/>
      <c r="AB161" s="1632"/>
      <c r="AC161" s="566"/>
      <c r="AD161" s="566"/>
      <c r="AE161" s="566"/>
      <c r="AF161" s="566"/>
      <c r="AG161" s="1641">
        <v>11</v>
      </c>
    </row>
    <row s="1641" customFormat="1" customHeight="1" ht="11.549999999999999">
      <c r="A162" s="987"/>
      <c r="B162" s="1636"/>
      <c r="C162" s="1636"/>
      <c r="D162" s="351"/>
      <c r="J162" s="1641"/>
      <c r="L162" s="1160"/>
      <c r="M162" s="1636"/>
      <c r="N162" s="1636"/>
      <c r="O162" s="1160"/>
      <c r="P162" s="1160"/>
      <c r="Q162" s="1160"/>
      <c r="R162" s="1160"/>
      <c r="S162" s="1636"/>
      <c r="T162" s="1160"/>
      <c r="U162" s="1160"/>
      <c r="V162" s="544"/>
      <c r="W162" s="1160"/>
      <c r="X162" s="1160"/>
      <c r="Y162" s="1160"/>
      <c r="Z162" s="1160"/>
      <c r="AA162" s="1160"/>
      <c r="AB162" s="1632"/>
      <c r="AC162" s="566"/>
      <c r="AD162" s="566"/>
      <c r="AE162" s="566"/>
      <c r="AF162" s="566"/>
      <c r="AG162" s="1641">
        <v>11</v>
      </c>
    </row>
    <row s="1641" customFormat="1" customHeight="1" ht="11.549999999999999">
      <c r="A163" s="987"/>
      <c r="B163" s="1636"/>
      <c r="C163" s="1636"/>
      <c r="D163" s="351"/>
      <c r="J163" s="1641"/>
      <c r="L163" s="1160"/>
      <c r="M163" s="1636"/>
      <c r="N163" s="1636"/>
      <c r="O163" s="1160"/>
      <c r="P163" s="1160"/>
      <c r="Q163" s="1160"/>
      <c r="R163" s="1160"/>
      <c r="S163" s="1636"/>
      <c r="T163" s="1160"/>
      <c r="U163" s="1160"/>
      <c r="V163" s="544"/>
      <c r="W163" s="1160"/>
      <c r="X163" s="1160"/>
      <c r="Y163" s="1160"/>
      <c r="Z163" s="1160"/>
      <c r="AA163" s="1160"/>
      <c r="AB163" s="1632"/>
      <c r="AC163" s="566"/>
      <c r="AD163" s="566"/>
      <c r="AE163" s="566"/>
      <c r="AF163" s="566"/>
      <c r="AG163" s="1641">
        <v>11</v>
      </c>
    </row>
    <row s="1641" customFormat="1" customHeight="1" ht="11.549999999999999">
      <c r="A164" s="987"/>
      <c r="B164" s="1636"/>
      <c r="C164" s="1636"/>
      <c r="D164" s="351"/>
      <c r="J164" s="1641"/>
      <c r="L164" s="1160"/>
      <c r="M164" s="1636"/>
      <c r="N164" s="1636"/>
      <c r="O164" s="1160"/>
      <c r="P164" s="1160"/>
      <c r="Q164" s="1160"/>
      <c r="R164" s="1160"/>
      <c r="S164" s="1636"/>
      <c r="T164" s="1160"/>
      <c r="U164" s="1160"/>
      <c r="V164" s="544"/>
      <c r="W164" s="1160"/>
      <c r="X164" s="1160"/>
      <c r="Y164" s="1160"/>
      <c r="Z164" s="1160"/>
      <c r="AA164" s="1160"/>
      <c r="AB164" s="1632"/>
      <c r="AC164" s="566"/>
      <c r="AD164" s="566"/>
      <c r="AE164" s="566"/>
      <c r="AF164" s="566"/>
      <c r="AG164" s="1641">
        <v>11</v>
      </c>
    </row>
    <row s="1641" customFormat="1" customHeight="1" ht="11.549999999999999">
      <c r="A165" s="987"/>
      <c r="B165" s="1636"/>
      <c r="C165" s="1636"/>
      <c r="D165" s="351"/>
      <c r="J165" s="1641"/>
      <c r="L165" s="1160"/>
      <c r="M165" s="1636"/>
      <c r="N165" s="1636"/>
      <c r="O165" s="1160"/>
      <c r="P165" s="1160"/>
      <c r="Q165" s="1160"/>
      <c r="R165" s="1160"/>
      <c r="S165" s="1636"/>
      <c r="T165" s="1160"/>
      <c r="U165" s="1160"/>
      <c r="V165" s="544"/>
      <c r="W165" s="1160"/>
      <c r="X165" s="1160"/>
      <c r="Y165" s="1160"/>
      <c r="Z165" s="1160"/>
      <c r="AA165" s="1160"/>
      <c r="AB165" s="1632"/>
      <c r="AC165" s="566"/>
      <c r="AD165" s="566"/>
      <c r="AE165" s="566"/>
      <c r="AF165" s="566"/>
      <c r="AG165" s="1641">
        <v>11</v>
      </c>
    </row>
    <row s="1641" customFormat="1" customHeight="1" ht="11.549999999999999">
      <c r="A166" s="987"/>
      <c r="B166" s="1636"/>
      <c r="C166" s="1636"/>
      <c r="D166" s="351"/>
      <c r="J166" s="1641"/>
      <c r="L166" s="1160"/>
      <c r="M166" s="1636"/>
      <c r="N166" s="1636"/>
      <c r="O166" s="1160"/>
      <c r="P166" s="1160"/>
      <c r="Q166" s="1160"/>
      <c r="R166" s="1160"/>
      <c r="S166" s="1636"/>
      <c r="T166" s="1160"/>
      <c r="U166" s="1160"/>
      <c r="V166" s="544"/>
      <c r="W166" s="1160"/>
      <c r="X166" s="1160"/>
      <c r="Y166" s="1160"/>
      <c r="Z166" s="1160"/>
      <c r="AA166" s="1160"/>
      <c r="AB166" s="1632"/>
      <c r="AC166" s="566"/>
      <c r="AD166" s="566"/>
      <c r="AE166" s="566"/>
      <c r="AF166" s="566"/>
      <c r="AG166" s="1641">
        <v>11</v>
      </c>
    </row>
    <row s="1641" customFormat="1" customHeight="1" ht="11.549999999999999">
      <c r="A167" s="987"/>
      <c r="B167" s="1636"/>
      <c r="C167" s="1636"/>
      <c r="D167" s="351"/>
      <c r="J167" s="1641"/>
      <c r="L167" s="1160"/>
      <c r="M167" s="1636"/>
      <c r="N167" s="1636"/>
      <c r="O167" s="1160"/>
      <c r="P167" s="1160"/>
      <c r="Q167" s="1160"/>
      <c r="R167" s="1160"/>
      <c r="S167" s="1636"/>
      <c r="T167" s="1160"/>
      <c r="U167" s="1160"/>
      <c r="V167" s="544"/>
      <c r="W167" s="1160"/>
      <c r="X167" s="1160"/>
      <c r="Y167" s="1160"/>
      <c r="Z167" s="1160"/>
      <c r="AA167" s="1160"/>
      <c r="AB167" s="1632"/>
      <c r="AC167" s="566"/>
      <c r="AD167" s="566"/>
      <c r="AE167" s="566"/>
      <c r="AF167" s="566"/>
      <c r="AG167" s="1641">
        <v>11</v>
      </c>
    </row>
    <row s="1641" customFormat="1" customHeight="1" ht="11.549999999999999">
      <c r="A168" s="987"/>
      <c r="B168" s="1636"/>
      <c r="C168" s="1636"/>
      <c r="D168" s="351"/>
      <c r="J168" s="1641"/>
      <c r="L168" s="1160"/>
      <c r="M168" s="1636"/>
      <c r="N168" s="1636"/>
      <c r="O168" s="1160"/>
      <c r="P168" s="1160"/>
      <c r="Q168" s="1160"/>
      <c r="R168" s="1160"/>
      <c r="S168" s="1636"/>
      <c r="T168" s="1160"/>
      <c r="U168" s="1160"/>
      <c r="V168" s="544"/>
      <c r="W168" s="1160"/>
      <c r="X168" s="1160"/>
      <c r="Y168" s="1160"/>
      <c r="Z168" s="1160"/>
      <c r="AA168" s="1160"/>
      <c r="AB168" s="1632"/>
      <c r="AC168" s="566"/>
      <c r="AD168" s="566"/>
      <c r="AE168" s="566"/>
      <c r="AF168" s="566"/>
      <c r="AG168" s="1641">
        <v>11</v>
      </c>
    </row>
    <row s="1641" customFormat="1" customHeight="1" ht="11.549999999999999">
      <c r="A169" s="987"/>
      <c r="B169" s="1636"/>
      <c r="C169" s="1636"/>
      <c r="D169" s="351"/>
      <c r="J169" s="1641"/>
      <c r="L169" s="1160"/>
      <c r="M169" s="1636"/>
      <c r="N169" s="1636"/>
      <c r="O169" s="1160"/>
      <c r="P169" s="1160"/>
      <c r="Q169" s="1160"/>
      <c r="R169" s="1160"/>
      <c r="S169" s="1636"/>
      <c r="T169" s="1160"/>
      <c r="U169" s="1160"/>
      <c r="V169" s="544"/>
      <c r="W169" s="1160"/>
      <c r="X169" s="1160"/>
      <c r="Y169" s="1160"/>
      <c r="Z169" s="1160"/>
      <c r="AA169" s="1160"/>
      <c r="AB169" s="1632"/>
      <c r="AC169" s="566"/>
      <c r="AD169" s="566"/>
      <c r="AE169" s="566"/>
      <c r="AF169" s="566"/>
      <c r="AG169" s="1641">
        <v>11</v>
      </c>
    </row>
    <row s="1641" customFormat="1" customHeight="1" ht="11.549999999999999">
      <c r="A170" s="987"/>
      <c r="B170" s="1636"/>
      <c r="C170" s="1636"/>
      <c r="D170" s="351"/>
      <c r="J170" s="1641"/>
      <c r="L170" s="1160"/>
      <c r="M170" s="1636"/>
      <c r="N170" s="1636"/>
      <c r="O170" s="1160"/>
      <c r="P170" s="1160"/>
      <c r="Q170" s="1160"/>
      <c r="R170" s="1160"/>
      <c r="S170" s="1636"/>
      <c r="T170" s="1160"/>
      <c r="U170" s="1160"/>
      <c r="V170" s="544"/>
      <c r="W170" s="1160"/>
      <c r="X170" s="1160"/>
      <c r="Y170" s="1160"/>
      <c r="Z170" s="1160"/>
      <c r="AA170" s="1160"/>
      <c r="AB170" s="1632"/>
      <c r="AC170" s="566"/>
      <c r="AD170" s="566"/>
      <c r="AE170" s="566"/>
      <c r="AF170" s="566"/>
      <c r="AG170" s="1641">
        <v>11</v>
      </c>
    </row>
    <row s="1641" customFormat="1" customHeight="1" ht="11.549999999999999">
      <c r="A171" s="987"/>
      <c r="B171" s="1636"/>
      <c r="C171" s="1636"/>
      <c r="D171" s="351"/>
      <c r="J171" s="1641"/>
      <c r="L171" s="1160"/>
      <c r="M171" s="1636"/>
      <c r="N171" s="1636"/>
      <c r="O171" s="1160"/>
      <c r="P171" s="1160"/>
      <c r="Q171" s="1160"/>
      <c r="R171" s="1160"/>
      <c r="S171" s="1636"/>
      <c r="T171" s="1160"/>
      <c r="U171" s="1160"/>
      <c r="V171" s="544"/>
      <c r="W171" s="1160"/>
      <c r="X171" s="1160"/>
      <c r="Y171" s="1160"/>
      <c r="Z171" s="1160"/>
      <c r="AA171" s="1160"/>
      <c r="AB171" s="1632"/>
      <c r="AC171" s="566"/>
      <c r="AD171" s="566"/>
      <c r="AE171" s="566"/>
      <c r="AF171" s="566"/>
      <c r="AG171" s="1641">
        <v>11</v>
      </c>
    </row>
    <row s="1641" customFormat="1" customHeight="1" ht="11.549999999999999">
      <c r="A172" s="987"/>
      <c r="B172" s="1636"/>
      <c r="C172" s="1636"/>
      <c r="D172" s="351"/>
      <c r="J172" s="1641"/>
      <c r="L172" s="1160"/>
      <c r="M172" s="1636"/>
      <c r="N172" s="1636"/>
      <c r="O172" s="1160"/>
      <c r="P172" s="1160"/>
      <c r="Q172" s="1160"/>
      <c r="R172" s="1160"/>
      <c r="S172" s="1636"/>
      <c r="T172" s="1160"/>
      <c r="U172" s="1160"/>
      <c r="V172" s="544"/>
      <c r="W172" s="1160"/>
      <c r="X172" s="1160"/>
      <c r="Y172" s="1160"/>
      <c r="Z172" s="1160"/>
      <c r="AA172" s="1160"/>
      <c r="AB172" s="1632"/>
      <c r="AC172" s="566"/>
      <c r="AD172" s="566"/>
      <c r="AE172" s="566"/>
      <c r="AF172" s="566"/>
      <c r="AG172" s="1641">
        <v>11</v>
      </c>
    </row>
    <row s="1641" customFormat="1" customHeight="1" ht="11.549999999999999">
      <c r="A173" s="987"/>
      <c r="B173" s="1636"/>
      <c r="C173" s="1636"/>
      <c r="D173" s="351"/>
      <c r="J173" s="1641"/>
      <c r="L173" s="1160"/>
      <c r="M173" s="1636"/>
      <c r="N173" s="1636"/>
      <c r="O173" s="1160"/>
      <c r="P173" s="1160"/>
      <c r="Q173" s="1160"/>
      <c r="R173" s="1160"/>
      <c r="S173" s="1636"/>
      <c r="T173" s="1160"/>
      <c r="U173" s="1160"/>
      <c r="V173" s="544"/>
      <c r="W173" s="1160"/>
      <c r="X173" s="1160"/>
      <c r="Y173" s="1160"/>
      <c r="Z173" s="1160"/>
      <c r="AA173" s="1160"/>
      <c r="AB173" s="1632"/>
      <c r="AC173" s="566"/>
      <c r="AD173" s="566"/>
      <c r="AE173" s="566"/>
      <c r="AF173" s="566"/>
      <c r="AG173" s="1641">
        <v>11</v>
      </c>
    </row>
    <row s="1641" customFormat="1" customHeight="1" ht="11.549999999999999">
      <c r="A174" s="987"/>
      <c r="B174" s="1636"/>
      <c r="C174" s="1636"/>
      <c r="D174" s="351"/>
      <c r="J174" s="1641"/>
      <c r="L174" s="1160"/>
      <c r="M174" s="1636"/>
      <c r="N174" s="1636"/>
      <c r="O174" s="1160"/>
      <c r="P174" s="1160"/>
      <c r="Q174" s="1160"/>
      <c r="R174" s="1160"/>
      <c r="S174" s="1636"/>
      <c r="T174" s="1160"/>
      <c r="U174" s="1160"/>
      <c r="V174" s="544"/>
      <c r="W174" s="1160"/>
      <c r="X174" s="1160"/>
      <c r="Y174" s="1160"/>
      <c r="Z174" s="1160"/>
      <c r="AA174" s="1160"/>
      <c r="AB174" s="1632"/>
      <c r="AC174" s="566"/>
      <c r="AD174" s="566"/>
      <c r="AE174" s="566"/>
      <c r="AF174" s="566"/>
      <c r="AG174" s="1641">
        <v>11</v>
      </c>
    </row>
    <row s="1641" customFormat="1" customHeight="1" ht="11.549999999999999">
      <c r="A175" s="987"/>
      <c r="B175" s="1636"/>
      <c r="C175" s="1636"/>
      <c r="D175" s="351"/>
      <c r="J175" s="1641"/>
      <c r="L175" s="1160"/>
      <c r="M175" s="1636"/>
      <c r="N175" s="1636"/>
      <c r="O175" s="1160"/>
      <c r="P175" s="1160"/>
      <c r="Q175" s="1160"/>
      <c r="R175" s="1160"/>
      <c r="S175" s="1636"/>
      <c r="T175" s="1160"/>
      <c r="U175" s="1160"/>
      <c r="V175" s="544"/>
      <c r="W175" s="1160"/>
      <c r="X175" s="1160"/>
      <c r="Y175" s="1160"/>
      <c r="Z175" s="1160"/>
      <c r="AA175" s="1160"/>
      <c r="AB175" s="1632"/>
      <c r="AC175" s="566"/>
      <c r="AD175" s="566"/>
      <c r="AE175" s="566"/>
      <c r="AF175" s="566"/>
      <c r="AG175" s="1641">
        <v>11</v>
      </c>
    </row>
    <row s="1641" customFormat="1" customHeight="1" ht="11.549999999999999">
      <c r="A176" s="987"/>
      <c r="B176" s="1636"/>
      <c r="C176" s="1636"/>
      <c r="D176" s="351"/>
      <c r="J176" s="1641"/>
      <c r="L176" s="1160"/>
      <c r="M176" s="1636"/>
      <c r="N176" s="1636"/>
      <c r="O176" s="1160"/>
      <c r="P176" s="1160"/>
      <c r="Q176" s="1160"/>
      <c r="R176" s="1160"/>
      <c r="S176" s="1636"/>
      <c r="T176" s="1160"/>
      <c r="U176" s="1160"/>
      <c r="V176" s="544"/>
      <c r="W176" s="1160"/>
      <c r="X176" s="1160"/>
      <c r="Y176" s="1160"/>
      <c r="Z176" s="1160"/>
      <c r="AA176" s="1160"/>
      <c r="AB176" s="1632"/>
      <c r="AC176" s="566"/>
      <c r="AD176" s="566"/>
      <c r="AE176" s="566"/>
      <c r="AF176" s="566"/>
      <c r="AG176" s="1641">
        <v>11</v>
      </c>
    </row>
    <row s="1641" customFormat="1" customHeight="1" ht="11.549999999999999">
      <c r="A177" s="987"/>
      <c r="B177" s="1636"/>
      <c r="C177" s="1636"/>
      <c r="D177" s="351"/>
      <c r="J177" s="1641"/>
      <c r="L177" s="1160"/>
      <c r="M177" s="1636"/>
      <c r="N177" s="1636"/>
      <c r="O177" s="1160"/>
      <c r="P177" s="1160"/>
      <c r="Q177" s="1160"/>
      <c r="R177" s="1160"/>
      <c r="S177" s="1636"/>
      <c r="T177" s="1160"/>
      <c r="U177" s="1160"/>
      <c r="V177" s="544"/>
      <c r="W177" s="1160"/>
      <c r="X177" s="1160"/>
      <c r="Y177" s="1160"/>
      <c r="Z177" s="1160"/>
      <c r="AA177" s="1160"/>
      <c r="AB177" s="1632"/>
      <c r="AC177" s="566"/>
      <c r="AD177" s="566"/>
      <c r="AE177" s="566"/>
      <c r="AF177" s="566"/>
      <c r="AG177" s="1641">
        <v>11</v>
      </c>
    </row>
    <row s="1641" customFormat="1" customHeight="1" ht="11.549999999999999">
      <c r="A178" s="987"/>
      <c r="B178" s="1636"/>
      <c r="C178" s="1636"/>
      <c r="D178" s="351"/>
      <c r="J178" s="1641"/>
      <c r="L178" s="1160"/>
      <c r="M178" s="1636"/>
      <c r="N178" s="1636"/>
      <c r="O178" s="1160"/>
      <c r="P178" s="1160"/>
      <c r="Q178" s="1160"/>
      <c r="R178" s="1160"/>
      <c r="S178" s="1636"/>
      <c r="T178" s="1160"/>
      <c r="U178" s="1160"/>
      <c r="V178" s="544"/>
      <c r="W178" s="1160"/>
      <c r="X178" s="1160"/>
      <c r="Y178" s="1160"/>
      <c r="Z178" s="1160"/>
      <c r="AA178" s="1160"/>
      <c r="AB178" s="1632"/>
      <c r="AC178" s="566"/>
      <c r="AD178" s="566"/>
      <c r="AE178" s="566"/>
      <c r="AF178" s="566"/>
      <c r="AG178" s="1641">
        <v>11</v>
      </c>
    </row>
    <row s="1641" customFormat="1" customHeight="1" ht="11.549999999999999">
      <c r="A179" s="987"/>
      <c r="B179" s="1636"/>
      <c r="C179" s="1636"/>
      <c r="D179" s="351"/>
      <c r="J179" s="1641"/>
      <c r="L179" s="1160"/>
      <c r="M179" s="1636"/>
      <c r="N179" s="1636"/>
      <c r="O179" s="1160"/>
      <c r="P179" s="1160"/>
      <c r="Q179" s="1160"/>
      <c r="R179" s="1160"/>
      <c r="S179" s="1636"/>
      <c r="T179" s="1160"/>
      <c r="U179" s="1160"/>
      <c r="V179" s="544"/>
      <c r="W179" s="1160"/>
      <c r="X179" s="1160"/>
      <c r="Y179" s="1160"/>
      <c r="Z179" s="1160"/>
      <c r="AA179" s="1160"/>
      <c r="AB179" s="1632"/>
      <c r="AC179" s="566"/>
      <c r="AD179" s="566"/>
      <c r="AE179" s="566"/>
      <c r="AF179" s="566"/>
      <c r="AG179" s="1641">
        <v>11</v>
      </c>
    </row>
    <row s="1641" customFormat="1" customHeight="1" ht="11.549999999999999">
      <c r="A180" s="987"/>
      <c r="B180" s="1636"/>
      <c r="C180" s="1636"/>
      <c r="D180" s="351"/>
      <c r="J180" s="1641"/>
      <c r="L180" s="1160"/>
      <c r="M180" s="1636"/>
      <c r="N180" s="1636"/>
      <c r="O180" s="1160"/>
      <c r="P180" s="1160"/>
      <c r="Q180" s="1160"/>
      <c r="R180" s="1160"/>
      <c r="S180" s="1636"/>
      <c r="T180" s="1160"/>
      <c r="U180" s="1160"/>
      <c r="V180" s="544"/>
      <c r="W180" s="1160"/>
      <c r="X180" s="1160"/>
      <c r="Y180" s="1160"/>
      <c r="Z180" s="1160"/>
      <c r="AA180" s="1160"/>
      <c r="AB180" s="1632"/>
      <c r="AC180" s="566"/>
      <c r="AD180" s="566"/>
      <c r="AE180" s="566"/>
      <c r="AF180" s="566"/>
      <c r="AG180" s="1641">
        <v>11</v>
      </c>
    </row>
    <row s="1641" customFormat="1" customHeight="1" ht="11.549999999999999">
      <c r="A181" s="987"/>
      <c r="B181" s="1636"/>
      <c r="C181" s="1636"/>
      <c r="D181" s="351"/>
      <c r="J181" s="1641"/>
      <c r="L181" s="1160"/>
      <c r="M181" s="1636"/>
      <c r="N181" s="1636"/>
      <c r="O181" s="1160"/>
      <c r="P181" s="1160"/>
      <c r="Q181" s="1160"/>
      <c r="R181" s="1160"/>
      <c r="S181" s="1636"/>
      <c r="T181" s="1160"/>
      <c r="U181" s="1160"/>
      <c r="V181" s="544"/>
      <c r="W181" s="1160"/>
      <c r="X181" s="1160"/>
      <c r="Y181" s="1160"/>
      <c r="Z181" s="1160"/>
      <c r="AA181" s="1160"/>
      <c r="AB181" s="1632"/>
      <c r="AC181" s="566"/>
      <c r="AD181" s="566"/>
      <c r="AE181" s="566"/>
      <c r="AF181" s="566"/>
      <c r="AG181" s="1641">
        <v>11</v>
      </c>
    </row>
    <row s="1641" customFormat="1" customHeight="1" ht="11.549999999999999">
      <c r="A182" s="987"/>
      <c r="B182" s="1636"/>
      <c r="C182" s="1636"/>
      <c r="D182" s="351"/>
      <c r="J182" s="1641"/>
      <c r="L182" s="1160"/>
      <c r="M182" s="1636"/>
      <c r="N182" s="1636"/>
      <c r="O182" s="1160"/>
      <c r="P182" s="1160"/>
      <c r="Q182" s="1160"/>
      <c r="R182" s="1160"/>
      <c r="S182" s="1636"/>
      <c r="T182" s="1160"/>
      <c r="U182" s="1160"/>
      <c r="V182" s="544"/>
      <c r="W182" s="1160"/>
      <c r="X182" s="1160"/>
      <c r="Y182" s="1160"/>
      <c r="Z182" s="1160"/>
      <c r="AA182" s="1160"/>
      <c r="AB182" s="1632"/>
      <c r="AC182" s="566"/>
      <c r="AD182" s="566"/>
      <c r="AE182" s="566"/>
      <c r="AF182" s="566"/>
      <c r="AG182" s="1641">
        <v>11</v>
      </c>
    </row>
    <row s="1641" customFormat="1" customHeight="1" ht="11.549999999999999">
      <c r="A183" s="987"/>
      <c r="B183" s="1636"/>
      <c r="C183" s="1636"/>
      <c r="D183" s="351"/>
      <c r="J183" s="1641"/>
      <c r="L183" s="1160"/>
      <c r="M183" s="1636"/>
      <c r="N183" s="1636"/>
      <c r="O183" s="1160"/>
      <c r="P183" s="1160"/>
      <c r="Q183" s="1160"/>
      <c r="R183" s="1160"/>
      <c r="S183" s="1636"/>
      <c r="T183" s="1160"/>
      <c r="U183" s="1160"/>
      <c r="V183" s="544"/>
      <c r="W183" s="1160"/>
      <c r="X183" s="1160"/>
      <c r="Y183" s="1160"/>
      <c r="Z183" s="1160"/>
      <c r="AA183" s="1160"/>
      <c r="AB183" s="1632"/>
      <c r="AC183" s="566"/>
      <c r="AD183" s="566"/>
      <c r="AE183" s="566"/>
      <c r="AF183" s="566"/>
      <c r="AG183" s="1641">
        <v>11</v>
      </c>
    </row>
    <row s="1641" customFormat="1" customHeight="1" ht="11.549999999999999">
      <c r="A184" s="987"/>
      <c r="B184" s="1636"/>
      <c r="C184" s="1636"/>
      <c r="D184" s="351"/>
      <c r="J184" s="1641"/>
      <c r="L184" s="1160"/>
      <c r="M184" s="1636"/>
      <c r="N184" s="1636"/>
      <c r="O184" s="1160"/>
      <c r="P184" s="1160"/>
      <c r="Q184" s="1160"/>
      <c r="R184" s="1160"/>
      <c r="S184" s="1636"/>
      <c r="T184" s="1160"/>
      <c r="U184" s="1160"/>
      <c r="V184" s="544"/>
      <c r="W184" s="1160"/>
      <c r="X184" s="1160"/>
      <c r="Y184" s="1160"/>
      <c r="Z184" s="1160"/>
      <c r="AA184" s="1160"/>
      <c r="AB184" s="1632"/>
      <c r="AC184" s="566"/>
      <c r="AD184" s="566"/>
      <c r="AE184" s="566"/>
      <c r="AF184" s="566"/>
      <c r="AG184" s="1641">
        <v>11</v>
      </c>
    </row>
    <row s="1641" customFormat="1" customHeight="1" ht="11.549999999999999">
      <c r="A185" s="987"/>
      <c r="B185" s="1636"/>
      <c r="C185" s="1636"/>
      <c r="D185" s="351"/>
      <c r="J185" s="1641"/>
      <c r="L185" s="1160"/>
      <c r="M185" s="1636"/>
      <c r="N185" s="1636"/>
      <c r="O185" s="1160"/>
      <c r="P185" s="1160"/>
      <c r="Q185" s="1160"/>
      <c r="R185" s="1160"/>
      <c r="S185" s="1636"/>
      <c r="T185" s="1160"/>
      <c r="U185" s="1160"/>
      <c r="V185" s="544"/>
      <c r="W185" s="1160"/>
      <c r="X185" s="1160"/>
      <c r="Y185" s="1160"/>
      <c r="Z185" s="1160"/>
      <c r="AA185" s="1160"/>
      <c r="AB185" s="1632"/>
      <c r="AC185" s="566"/>
      <c r="AD185" s="566"/>
      <c r="AE185" s="566"/>
      <c r="AF185" s="566"/>
      <c r="AG185" s="1641">
        <v>11</v>
      </c>
    </row>
    <row s="1641" customFormat="1" customHeight="1" ht="11.549999999999999">
      <c r="A186" s="987"/>
      <c r="B186" s="1636"/>
      <c r="C186" s="1636"/>
      <c r="D186" s="351"/>
      <c r="J186" s="1641"/>
      <c r="L186" s="1160"/>
      <c r="M186" s="1636"/>
      <c r="N186" s="1636"/>
      <c r="O186" s="1160"/>
      <c r="P186" s="1160"/>
      <c r="Q186" s="1160"/>
      <c r="R186" s="1160"/>
      <c r="S186" s="1636"/>
      <c r="T186" s="1160"/>
      <c r="U186" s="1160"/>
      <c r="V186" s="544"/>
      <c r="W186" s="1160"/>
      <c r="X186" s="1160"/>
      <c r="Y186" s="1160"/>
      <c r="Z186" s="1160"/>
      <c r="AA186" s="1160"/>
      <c r="AB186" s="1632"/>
      <c r="AC186" s="566"/>
      <c r="AD186" s="566"/>
      <c r="AE186" s="566"/>
      <c r="AF186" s="566"/>
      <c r="AG186" s="1641">
        <v>11</v>
      </c>
    </row>
    <row s="1641" customFormat="1" customHeight="1" ht="11.549999999999999">
      <c r="A187" s="987"/>
      <c r="B187" s="1636"/>
      <c r="C187" s="1636"/>
      <c r="D187" s="351"/>
      <c r="J187" s="1641"/>
      <c r="L187" s="1160"/>
      <c r="M187" s="1636"/>
      <c r="N187" s="1636"/>
      <c r="O187" s="1160"/>
      <c r="P187" s="1160"/>
      <c r="Q187" s="1160"/>
      <c r="R187" s="1160"/>
      <c r="S187" s="1636"/>
      <c r="T187" s="1160"/>
      <c r="U187" s="1160"/>
      <c r="V187" s="544"/>
      <c r="W187" s="1160"/>
      <c r="X187" s="1160"/>
      <c r="Y187" s="1160"/>
      <c r="Z187" s="1160"/>
      <c r="AA187" s="1160"/>
      <c r="AB187" s="1632"/>
      <c r="AC187" s="566"/>
      <c r="AD187" s="566"/>
      <c r="AE187" s="566"/>
      <c r="AF187" s="566"/>
      <c r="AG187" s="1641">
        <v>11</v>
      </c>
    </row>
    <row s="1641" customFormat="1" customHeight="1" ht="11.549999999999999">
      <c r="A188" s="987"/>
      <c r="B188" s="1636"/>
      <c r="C188" s="1636"/>
      <c r="D188" s="351"/>
      <c r="J188" s="1641"/>
      <c r="L188" s="1160"/>
      <c r="M188" s="1636"/>
      <c r="N188" s="1636"/>
      <c r="O188" s="1160"/>
      <c r="P188" s="1160"/>
      <c r="Q188" s="1160"/>
      <c r="R188" s="1160"/>
      <c r="S188" s="1636"/>
      <c r="T188" s="1160"/>
      <c r="U188" s="1160"/>
      <c r="V188" s="544"/>
      <c r="W188" s="1160"/>
      <c r="X188" s="1160"/>
      <c r="Y188" s="1160"/>
      <c r="Z188" s="1160"/>
      <c r="AA188" s="1160"/>
      <c r="AB188" s="1632"/>
      <c r="AC188" s="566"/>
      <c r="AD188" s="566"/>
      <c r="AE188" s="566"/>
      <c r="AF188" s="566"/>
      <c r="AG188" s="1641">
        <v>11</v>
      </c>
    </row>
    <row s="1641" customFormat="1" customHeight="1" ht="11.549999999999999">
      <c r="A189" s="987"/>
      <c r="B189" s="1636"/>
      <c r="C189" s="1636"/>
      <c r="D189" s="351"/>
      <c r="J189" s="1641"/>
      <c r="L189" s="1160"/>
      <c r="M189" s="1636"/>
      <c r="N189" s="1636"/>
      <c r="O189" s="1160"/>
      <c r="P189" s="1160"/>
      <c r="Q189" s="1160"/>
      <c r="R189" s="1160"/>
      <c r="S189" s="1636"/>
      <c r="T189" s="1160"/>
      <c r="U189" s="1160"/>
      <c r="V189" s="544"/>
      <c r="W189" s="1160"/>
      <c r="X189" s="1160"/>
      <c r="Y189" s="1160"/>
      <c r="Z189" s="1160"/>
      <c r="AA189" s="1160"/>
      <c r="AB189" s="1632"/>
      <c r="AC189" s="566"/>
      <c r="AD189" s="566"/>
      <c r="AE189" s="566"/>
      <c r="AF189" s="566"/>
      <c r="AG189" s="1641">
        <v>11</v>
      </c>
    </row>
    <row s="1641" customFormat="1" customHeight="1" ht="11.549999999999999">
      <c r="A190" s="987"/>
      <c r="B190" s="1636"/>
      <c r="C190" s="1636"/>
      <c r="D190" s="351"/>
      <c r="J190" s="1641"/>
      <c r="L190" s="1160"/>
      <c r="M190" s="1636"/>
      <c r="N190" s="1636"/>
      <c r="O190" s="1160"/>
      <c r="P190" s="1160"/>
      <c r="Q190" s="1160"/>
      <c r="R190" s="1160"/>
      <c r="S190" s="1636"/>
      <c r="T190" s="1160"/>
      <c r="U190" s="1160"/>
      <c r="V190" s="544"/>
      <c r="W190" s="1160"/>
      <c r="X190" s="1160"/>
      <c r="Y190" s="1160"/>
      <c r="Z190" s="1160"/>
      <c r="AA190" s="1160"/>
      <c r="AB190" s="1632"/>
      <c r="AC190" s="566"/>
      <c r="AD190" s="566"/>
      <c r="AE190" s="566"/>
      <c r="AF190" s="566"/>
      <c r="AG190" s="1641">
        <v>11</v>
      </c>
    </row>
    <row s="1641" customFormat="1" customHeight="1" ht="11.549999999999999">
      <c r="A191" s="987"/>
      <c r="B191" s="1636"/>
      <c r="C191" s="1636"/>
      <c r="D191" s="351"/>
      <c r="J191" s="1641"/>
      <c r="L191" s="1160"/>
      <c r="M191" s="1636"/>
      <c r="N191" s="1636"/>
      <c r="O191" s="1160"/>
      <c r="P191" s="1160"/>
      <c r="Q191" s="1160"/>
      <c r="R191" s="1160"/>
      <c r="S191" s="1636"/>
      <c r="T191" s="1160"/>
      <c r="U191" s="1160"/>
      <c r="V191" s="544"/>
      <c r="W191" s="1160"/>
      <c r="X191" s="1160"/>
      <c r="Y191" s="1160"/>
      <c r="Z191" s="1160"/>
      <c r="AA191" s="1160"/>
      <c r="AB191" s="1632"/>
      <c r="AC191" s="566"/>
      <c r="AD191" s="566"/>
      <c r="AE191" s="566"/>
      <c r="AF191" s="566"/>
      <c r="AG191" s="1641">
        <v>11</v>
      </c>
    </row>
    <row s="1641" customFormat="1" customHeight="1" ht="11.549999999999999">
      <c r="A192" s="987"/>
      <c r="B192" s="1636"/>
      <c r="C192" s="1636"/>
      <c r="D192" s="351"/>
      <c r="J192" s="1641"/>
      <c r="L192" s="1160"/>
      <c r="M192" s="1636"/>
      <c r="N192" s="1636"/>
      <c r="O192" s="1160"/>
      <c r="P192" s="1160"/>
      <c r="Q192" s="1160"/>
      <c r="R192" s="1160"/>
      <c r="S192" s="1636"/>
      <c r="T192" s="1160"/>
      <c r="U192" s="1160"/>
      <c r="V192" s="544"/>
      <c r="W192" s="1160"/>
      <c r="X192" s="1160"/>
      <c r="Y192" s="1160"/>
      <c r="Z192" s="1160"/>
      <c r="AA192" s="1160"/>
      <c r="AB192" s="1632"/>
      <c r="AC192" s="566"/>
      <c r="AD192" s="566"/>
      <c r="AE192" s="566"/>
      <c r="AF192" s="566"/>
      <c r="AG192" s="1641">
        <v>11</v>
      </c>
    </row>
    <row s="1641" customFormat="1" customHeight="1" ht="11.549999999999999">
      <c r="A193" s="987"/>
      <c r="B193" s="1636"/>
      <c r="C193" s="1636"/>
      <c r="D193" s="351"/>
      <c r="J193" s="1641"/>
      <c r="L193" s="1160"/>
      <c r="M193" s="1636"/>
      <c r="N193" s="1636"/>
      <c r="O193" s="1160"/>
      <c r="P193" s="1160"/>
      <c r="Q193" s="1160"/>
      <c r="R193" s="1160"/>
      <c r="S193" s="1636"/>
      <c r="T193" s="1160"/>
      <c r="U193" s="1160"/>
      <c r="V193" s="544"/>
      <c r="W193" s="1160"/>
      <c r="X193" s="1160"/>
      <c r="Y193" s="1160"/>
      <c r="Z193" s="1160"/>
      <c r="AA193" s="1160"/>
      <c r="AB193" s="1632"/>
      <c r="AC193" s="566"/>
      <c r="AD193" s="566"/>
      <c r="AE193" s="566"/>
      <c r="AF193" s="566"/>
      <c r="AG193" s="1641">
        <v>11</v>
      </c>
    </row>
    <row s="1641" customFormat="1" customHeight="1" ht="11.549999999999999">
      <c r="A194" s="987"/>
      <c r="B194" s="1636"/>
      <c r="C194" s="1636"/>
      <c r="D194" s="351"/>
      <c r="J194" s="1641"/>
      <c r="L194" s="1160"/>
      <c r="M194" s="1636"/>
      <c r="N194" s="1636"/>
      <c r="O194" s="1160"/>
      <c r="P194" s="1160"/>
      <c r="Q194" s="1160"/>
      <c r="R194" s="1160"/>
      <c r="S194" s="1636"/>
      <c r="T194" s="1160"/>
      <c r="U194" s="1160"/>
      <c r="V194" s="544"/>
      <c r="W194" s="1160"/>
      <c r="X194" s="1160"/>
      <c r="Y194" s="1160"/>
      <c r="Z194" s="1160"/>
      <c r="AA194" s="1160"/>
      <c r="AB194" s="1632"/>
      <c r="AC194" s="566"/>
      <c r="AD194" s="566"/>
      <c r="AE194" s="566"/>
      <c r="AF194" s="566"/>
      <c r="AG194" s="1641">
        <v>11</v>
      </c>
    </row>
    <row s="1641" customFormat="1" customHeight="1" ht="11.549999999999999">
      <c r="A195" s="987"/>
      <c r="B195" s="1636"/>
      <c r="C195" s="1636"/>
      <c r="D195" s="351"/>
      <c r="J195" s="1641"/>
      <c r="L195" s="1160"/>
      <c r="M195" s="1636"/>
      <c r="N195" s="1636"/>
      <c r="O195" s="1160"/>
      <c r="P195" s="1160"/>
      <c r="Q195" s="1160"/>
      <c r="R195" s="1160"/>
      <c r="S195" s="1636"/>
      <c r="T195" s="1160"/>
      <c r="U195" s="1160"/>
      <c r="V195" s="544"/>
      <c r="W195" s="1160"/>
      <c r="X195" s="1160"/>
      <c r="Y195" s="1160"/>
      <c r="Z195" s="1160"/>
      <c r="AA195" s="1160"/>
      <c r="AB195" s="1632"/>
      <c r="AC195" s="566"/>
      <c r="AD195" s="566"/>
      <c r="AE195" s="566"/>
      <c r="AF195" s="566"/>
      <c r="AG195" s="1641">
        <v>11</v>
      </c>
    </row>
    <row customHeight="1" ht="11.549999999999999">
      <c r="J196" s="1635"/>
      <c r="AG196" s="1631">
        <v>11</v>
      </c>
    </row>
    <row customHeight="1" ht="11.549999999999999">
      <c r="J197" s="1635"/>
      <c r="AG197" s="1631">
        <v>11</v>
      </c>
    </row>
    <row customHeight="1" ht="11.549999999999999">
      <c r="J198" s="1635"/>
      <c r="AG198" s="1631">
        <v>11</v>
      </c>
    </row>
    <row customHeight="1" ht="11.549999999999999">
      <c r="A199" s="990"/>
      <c r="B199" s="1631"/>
      <c r="D199" s="1631"/>
      <c r="J199" s="1635"/>
      <c r="L199" s="1631"/>
      <c r="O199" s="1631"/>
      <c r="P199" s="1631"/>
      <c r="Q199" s="1631"/>
      <c r="R199" s="1631"/>
      <c r="T199" s="1631"/>
      <c r="U199" s="1631"/>
      <c r="V199" s="1631"/>
      <c r="W199" s="1631"/>
      <c r="X199" s="1631"/>
      <c r="Y199" s="1631"/>
      <c r="Z199" s="1631"/>
      <c r="AA199" s="1631"/>
      <c r="AB199" s="1631"/>
      <c r="AC199" s="1631"/>
      <c r="AD199" s="1631"/>
      <c r="AE199" s="1631"/>
      <c r="AF199" s="1631"/>
      <c r="AG199" s="1631">
        <v>11</v>
      </c>
    </row>
    <row customHeight="1" ht="11.549999999999999">
      <c r="A200" s="990"/>
      <c r="B200" s="1631"/>
      <c r="D200" s="1631"/>
      <c r="J200" s="1635"/>
      <c r="L200" s="1631"/>
      <c r="O200" s="1631"/>
      <c r="P200" s="1631"/>
      <c r="Q200" s="1631"/>
      <c r="R200" s="1631"/>
      <c r="T200" s="1631"/>
      <c r="U200" s="1631"/>
      <c r="V200" s="1631"/>
      <c r="W200" s="1631"/>
      <c r="X200" s="1631"/>
      <c r="Y200" s="1631"/>
      <c r="Z200" s="1631"/>
      <c r="AA200" s="1631"/>
      <c r="AB200" s="1631"/>
      <c r="AC200" s="1631"/>
      <c r="AD200" s="1631"/>
      <c r="AE200" s="1631"/>
      <c r="AF200" s="1631"/>
      <c r="AG200" s="1631">
        <v>11</v>
      </c>
    </row>
    <row customHeight="1" ht="11.549999999999999">
      <c r="A201" s="990"/>
      <c r="B201" s="1631"/>
      <c r="D201" s="1631"/>
      <c r="J201" s="1635"/>
      <c r="L201" s="1631"/>
      <c r="O201" s="1631"/>
      <c r="P201" s="1631"/>
      <c r="Q201" s="1631"/>
      <c r="R201" s="1631"/>
      <c r="T201" s="1631"/>
      <c r="U201" s="1631"/>
      <c r="V201" s="1631"/>
      <c r="W201" s="1631"/>
      <c r="X201" s="1631"/>
      <c r="Y201" s="1631"/>
      <c r="Z201" s="1631"/>
      <c r="AA201" s="1631"/>
      <c r="AB201" s="1631"/>
      <c r="AC201" s="1631"/>
      <c r="AD201" s="1631"/>
      <c r="AE201" s="1631"/>
      <c r="AF201" s="1631"/>
      <c r="AG201" s="1631">
        <v>11</v>
      </c>
    </row>
    <row customHeight="1" ht="11.549999999999999">
      <c r="A202" s="990"/>
      <c r="B202" s="1631"/>
      <c r="D202" s="1631"/>
      <c r="J202" s="1635"/>
      <c r="L202" s="1631"/>
      <c r="O202" s="1631"/>
      <c r="P202" s="1631"/>
      <c r="Q202" s="1631"/>
      <c r="R202" s="1631"/>
      <c r="T202" s="1631"/>
      <c r="U202" s="1631"/>
      <c r="V202" s="1631"/>
      <c r="W202" s="1631"/>
      <c r="X202" s="1631"/>
      <c r="Y202" s="1631"/>
      <c r="Z202" s="1631"/>
      <c r="AA202" s="1631"/>
      <c r="AB202" s="1631"/>
      <c r="AC202" s="1631"/>
      <c r="AD202" s="1631"/>
      <c r="AE202" s="1631"/>
      <c r="AF202" s="1631"/>
      <c r="AG202" s="1631">
        <v>11</v>
      </c>
    </row>
    <row customHeight="1" ht="11.549999999999999">
      <c r="A203" s="990"/>
      <c r="B203" s="1631"/>
      <c r="D203" s="1631"/>
      <c r="J203" s="1635"/>
      <c r="L203" s="1631"/>
      <c r="O203" s="1631"/>
      <c r="P203" s="1631"/>
      <c r="Q203" s="1631"/>
      <c r="R203" s="1631"/>
      <c r="T203" s="1631"/>
      <c r="U203" s="1631"/>
      <c r="V203" s="1631"/>
      <c r="W203" s="1631"/>
      <c r="X203" s="1631"/>
      <c r="Y203" s="1631"/>
      <c r="Z203" s="1631"/>
      <c r="AA203" s="1631"/>
      <c r="AB203" s="1631"/>
      <c r="AC203" s="1631"/>
      <c r="AD203" s="1631"/>
      <c r="AE203" s="1631"/>
      <c r="AF203" s="1631"/>
      <c r="AG203" s="1631">
        <v>11</v>
      </c>
    </row>
    <row customHeight="1" ht="11.549999999999999">
      <c r="A204" s="990"/>
      <c r="B204" s="1631"/>
      <c r="D204" s="1631"/>
      <c r="J204" s="1635"/>
      <c r="L204" s="1631"/>
      <c r="O204" s="1631"/>
      <c r="P204" s="1631"/>
      <c r="Q204" s="1631"/>
      <c r="R204" s="1631"/>
      <c r="T204" s="1631"/>
      <c r="U204" s="1631"/>
      <c r="V204" s="1631"/>
      <c r="W204" s="1631"/>
      <c r="X204" s="1631"/>
      <c r="Y204" s="1631"/>
      <c r="Z204" s="1631"/>
      <c r="AA204" s="1631"/>
      <c r="AB204" s="1631"/>
      <c r="AC204" s="1631"/>
      <c r="AD204" s="1631"/>
      <c r="AE204" s="1631"/>
      <c r="AF204" s="1631"/>
      <c r="AG204" s="1631">
        <v>11</v>
      </c>
    </row>
    <row customHeight="1" ht="11.549999999999999">
      <c r="A205" s="990"/>
      <c r="B205" s="1631"/>
      <c r="D205" s="1631"/>
      <c r="J205" s="1635"/>
      <c r="L205" s="1631"/>
      <c r="O205" s="1631"/>
      <c r="P205" s="1631"/>
      <c r="Q205" s="1631"/>
      <c r="R205" s="1631"/>
      <c r="T205" s="1631"/>
      <c r="U205" s="1631"/>
      <c r="V205" s="1631"/>
      <c r="W205" s="1631"/>
      <c r="X205" s="1631"/>
      <c r="Y205" s="1631"/>
      <c r="Z205" s="1631"/>
      <c r="AA205" s="1631"/>
      <c r="AB205" s="1631"/>
      <c r="AC205" s="1631"/>
      <c r="AD205" s="1631"/>
      <c r="AE205" s="1631"/>
      <c r="AF205" s="1631"/>
      <c r="AG205" s="1631">
        <v>11</v>
      </c>
    </row>
    <row customHeight="1" ht="11.549999999999999">
      <c r="A206" s="990"/>
      <c r="B206" s="1631"/>
      <c r="D206" s="1631"/>
      <c r="J206" s="1635"/>
      <c r="L206" s="1631"/>
      <c r="O206" s="1631"/>
      <c r="P206" s="1631"/>
      <c r="Q206" s="1631"/>
      <c r="R206" s="1631"/>
      <c r="T206" s="1631"/>
      <c r="U206" s="1631"/>
      <c r="V206" s="1631"/>
      <c r="W206" s="1631"/>
      <c r="X206" s="1631"/>
      <c r="Y206" s="1631"/>
      <c r="Z206" s="1631"/>
      <c r="AA206" s="1631"/>
      <c r="AB206" s="1631"/>
      <c r="AC206" s="1631"/>
      <c r="AD206" s="1631"/>
      <c r="AE206" s="1631"/>
      <c r="AF206" s="1631"/>
      <c r="AG206" s="1631">
        <v>11</v>
      </c>
    </row>
    <row customHeight="1" ht="11.549999999999999">
      <c r="A207" s="990"/>
      <c r="B207" s="1631"/>
      <c r="D207" s="1631"/>
      <c r="J207" s="1635"/>
      <c r="L207" s="1631"/>
      <c r="O207" s="1631"/>
      <c r="P207" s="1631"/>
      <c r="Q207" s="1631"/>
      <c r="R207" s="1631"/>
      <c r="T207" s="1631"/>
      <c r="U207" s="1631"/>
      <c r="V207" s="1631"/>
      <c r="W207" s="1631"/>
      <c r="X207" s="1631"/>
      <c r="Y207" s="1631"/>
      <c r="Z207" s="1631"/>
      <c r="AA207" s="1631"/>
      <c r="AB207" s="1631"/>
      <c r="AC207" s="1631"/>
      <c r="AD207" s="1631"/>
      <c r="AE207" s="1631"/>
      <c r="AF207" s="1631"/>
      <c r="AG207" s="1631">
        <v>11</v>
      </c>
    </row>
    <row customHeight="1" ht="11.549999999999999">
      <c r="A208" s="990"/>
      <c r="B208" s="1631"/>
      <c r="D208" s="1631"/>
      <c r="J208" s="1635"/>
      <c r="L208" s="1631"/>
      <c r="O208" s="1631"/>
      <c r="P208" s="1631"/>
      <c r="Q208" s="1631"/>
      <c r="R208" s="1631"/>
      <c r="T208" s="1631"/>
      <c r="U208" s="1631"/>
      <c r="V208" s="1631"/>
      <c r="W208" s="1631"/>
      <c r="X208" s="1631"/>
      <c r="Y208" s="1631"/>
      <c r="Z208" s="1631"/>
      <c r="AA208" s="1631"/>
      <c r="AB208" s="1631"/>
      <c r="AC208" s="1631"/>
      <c r="AD208" s="1631"/>
      <c r="AE208" s="1631"/>
      <c r="AF208" s="1631"/>
      <c r="AG208" s="1631">
        <v>11</v>
      </c>
    </row>
    <row customHeight="1" ht="11.549999999999999">
      <c r="A209" s="990"/>
      <c r="B209" s="1631"/>
      <c r="D209" s="1631"/>
      <c r="J209" s="1635"/>
      <c r="L209" s="1631"/>
      <c r="O209" s="1631"/>
      <c r="P209" s="1631"/>
      <c r="Q209" s="1631"/>
      <c r="R209" s="1631"/>
      <c r="T209" s="1631"/>
      <c r="U209" s="1631"/>
      <c r="V209" s="1631"/>
      <c r="W209" s="1631"/>
      <c r="X209" s="1631"/>
      <c r="Y209" s="1631"/>
      <c r="Z209" s="1631"/>
      <c r="AA209" s="1631"/>
      <c r="AB209" s="1631"/>
      <c r="AC209" s="1631"/>
      <c r="AD209" s="1631"/>
      <c r="AE209" s="1631"/>
      <c r="AF209" s="1631"/>
      <c r="AG209" s="1631">
        <v>11</v>
      </c>
    </row>
    <row customHeight="1" ht="11.25" hidden="1">
      <c r="A210" s="987" t="s">
        <v>82</v>
      </c>
      <c r="B210" s="1160">
        <v>0</v>
      </c>
      <c r="C210" s="1636">
        <v>0</v>
      </c>
      <c r="D210" s="1635">
        <v>3</v>
      </c>
      <c r="E210" s="1631">
        <v>7</v>
      </c>
      <c r="F210" s="1631">
        <v>54</v>
      </c>
      <c r="G210" s="1631">
        <v>10</v>
      </c>
      <c r="H210" s="1631">
        <v>0</v>
      </c>
      <c r="I210" s="1631">
        <v>40</v>
      </c>
      <c r="J210" s="1635">
        <v>0</v>
      </c>
      <c r="K210" s="1631">
        <v>102</v>
      </c>
      <c r="L210" s="1160">
        <v>9</v>
      </c>
      <c r="M210" s="1636">
        <v>5</v>
      </c>
      <c r="N210" s="1636">
        <v>3</v>
      </c>
      <c r="O210" s="1160">
        <v>3</v>
      </c>
      <c r="P210" s="1160">
        <v>3</v>
      </c>
      <c r="Q210" s="1160">
        <v>3</v>
      </c>
      <c r="R210" s="1160">
        <v>3</v>
      </c>
      <c r="S210" s="1636">
        <v>10</v>
      </c>
      <c r="T210" s="1160">
        <v>34</v>
      </c>
      <c r="U210" s="1160">
        <v>9</v>
      </c>
      <c r="V210" s="544">
        <v>8</v>
      </c>
      <c r="W210" s="1160">
        <v>8</v>
      </c>
      <c r="X210" s="1160">
        <v>8</v>
      </c>
      <c r="Y210" s="1160">
        <v>8</v>
      </c>
      <c r="Z210" s="1160">
        <v>8</v>
      </c>
      <c r="AA210" s="1160">
        <v>8</v>
      </c>
      <c r="AB210" s="1632">
        <v>8</v>
      </c>
      <c r="AC210" s="1632">
        <v>8</v>
      </c>
      <c r="AD210" s="1632">
        <v>8</v>
      </c>
      <c r="AE210" s="1632">
        <v>8</v>
      </c>
      <c r="AF210" s="1632">
        <v>8</v>
      </c>
      <c r="AG210" s="1631">
        <v>11</v>
      </c>
    </row>
  </sheetData>
  <sheetProtection formatColumns="0" formatRows="0" autoFilter="0" sort="0" insertRows="0" insertColumns="1" deleteRows="0" deleteColumns="0"/>
  <mergeCells count="9">
    <mergeCell ref="F40:G40"/>
    <mergeCell ref="E6:I6"/>
    <mergeCell ref="E7:I7"/>
    <mergeCell ref="F10:G10"/>
    <mergeCell ref="K10:K14"/>
    <mergeCell ref="F11:G11"/>
    <mergeCell ref="F12:G12"/>
    <mergeCell ref="E13:G13"/>
    <mergeCell ref="F39:G39"/>
  </mergeCells>
  <dataValidations count="5">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H28:J28">
      <formula1>900</formula1>
    </dataValidation>
    <dataValidation type="decimal" allowBlank="1" showErrorMessage="1" errorTitle="Ошибка" error="Допускается ввод только неотрицательных чисел!" sqref="H31:J31 H2:J2 H15:J15 H17:J27 H36:J37">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35:J35">
      <formula1>900</formula1>
    </dataValidation>
    <dataValidation type="decimal" allowBlank="1" showErrorMessage="1" errorTitle="Ошибка" error="Допускается ввод только действительных чисел!" sqref="H30:J30">
      <formula1>-9.99999999999999E+23</formula1>
      <formula2>9.99999999999999E+23</formula2>
    </dataValidation>
    <dataValidation type="decimal" allowBlank="1" showErrorMessage="1" errorTitle="Ошибка" error="Допускается ввод только действительных чисел!" sqref="H32:J34">
      <formula1>-9.99999999999999E+37</formula1>
      <formula2>9.99999999999999E+37</formula2>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3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5D3E93E-D175-1CD4-0A74-BFBBABEB4626}" mc:Ignorable="x14ac xr xr2 xr3">
  <sheetPr>
    <tabColor theme="9" tint="-0.25"/>
  </sheetPr>
  <dimension ref="A1:Z102"/>
  <sheetViews>
    <sheetView showGridLines="0" zoomScale="90" workbookViewId="0">
      <pane xSplit="8" ySplit="11" topLeftCell="I12" activePane="bottomRight" state="frozen"/>
      <selection pane="bottomLeft" activeCell="A12" sqref="A12"/>
      <selection pane="topRight" activeCell="I1" sqref="I1"/>
      <selection pane="bottomRight" activeCell="K1" sqref="K1:L1048576"/>
    </sheetView>
  </sheetViews>
  <sheetFormatPr defaultColWidth="10.57421875" customHeight="1" defaultRowHeight="11.25"/>
  <cols>
    <col min="1" max="1" style="1166" width="9.140625" hidden="1" customWidth="1"/>
    <col min="2" max="2" style="1642" width="3.57421875" hidden="1" customWidth="1"/>
    <col min="3" max="3" style="1635" width="3.00390625" customWidth="1"/>
    <col min="4" max="4" style="1635" width="7.00390625" customWidth="1"/>
    <col min="5" max="5" style="1635" width="69.00390625" customWidth="1"/>
    <col min="6" max="6" style="1635" width="10.00390625" customWidth="1"/>
    <col min="7" max="8" style="1635" width="44.00390625" hidden="1" customWidth="1"/>
    <col min="9" max="9" style="1635" width="44.00390625" customWidth="1"/>
    <col min="10" max="10" style="1635" width="43.00390625" customWidth="1"/>
    <col min="11" max="12" style="1635" width="44.00390625" customWidth="1"/>
    <col min="13" max="13" style="1635" width="73.00390625" customWidth="1"/>
    <col min="14" max="14" style="1635" width="3.00390625" customWidth="1"/>
    <col min="15" max="25" style="1635" width="10.00390625" customWidth="1"/>
    <col min="26" max="26" style="1635" width="10.57421875" hidden="1"/>
  </cols>
  <sheetData>
    <row s="1366" customFormat="1" customHeight="1" ht="22.5" hidden="1">
      <c r="A1" s="536"/>
      <c r="B1" s="511"/>
      <c r="G1" s="417">
        <v>4</v>
      </c>
      <c r="I1" s="417">
        <v>4</v>
      </c>
      <c r="K1" s="1366">
        <v>4</v>
      </c>
      <c r="L1" s="1366"/>
      <c r="M1" s="417">
        <v>5</v>
      </c>
      <c r="Z1" s="417" t="s">
        <v>14</v>
      </c>
    </row>
    <row customHeight="1" ht="3">
      <c r="K2" s="1635"/>
      <c r="L2" s="1635"/>
      <c r="Z2" s="505">
        <v>3</v>
      </c>
    </row>
    <row customHeight="1" ht="78.75">
      <c r="D3" s="2238" t="str">
        <f>KNE_NAME_FORM</f>
        <v>Форма 12. Информация об основных потребительских характеристиках товаров, услуг регулируемой организации, цены (тарифы) в сфере теплоснабжения на которые подлежат регулированию, об основных потребительских характеристиках товаров (услуг), поставляемых (оказываемых) единой теплоснабжающей организацией в ценовых зонах теплоснабжения, об основных потребительских характеристиках товаров (услуг), поставляемых (оказываемых) теплоснабжающей организацией в ценовых зонах теплоснабжения и теплосетевой организацией в ценовых зонах теплоснабжения</v>
      </c>
      <c r="E3" s="2239"/>
      <c r="F3" s="2240"/>
      <c r="K3" s="1635"/>
      <c r="L3" s="1635"/>
      <c r="Z3" s="505">
        <v>75</v>
      </c>
    </row>
    <row s="1635" customFormat="1" customHeight="1" ht="21">
      <c r="A4" s="951"/>
      <c r="B4" s="511"/>
      <c r="D4" s="2214" t="str">
        <f>IF(org=0,"Не определено",org)</f>
        <v>ПАО "ОГК-2"</v>
      </c>
      <c r="E4" s="2215"/>
      <c r="F4" s="2216"/>
      <c r="K4" s="1635"/>
      <c r="L4" s="1635"/>
      <c r="Z4" s="758">
        <v>20</v>
      </c>
    </row>
    <row customHeight="1" ht="11.549999999999999">
      <c r="C5" s="509"/>
      <c r="D5" s="588"/>
      <c r="E5" s="588"/>
      <c r="F5" s="588"/>
      <c r="G5" s="588"/>
      <c r="H5" s="752"/>
      <c r="I5" s="588"/>
      <c r="J5" s="752"/>
      <c r="K5" s="1635"/>
      <c r="L5" s="752"/>
      <c r="M5" s="588"/>
      <c r="Z5" s="505">
        <v>11</v>
      </c>
    </row>
    <row customHeight="1" ht="1.05">
      <c r="C6" s="509"/>
      <c r="D6" s="509"/>
      <c r="E6" s="522"/>
      <c r="F6" s="614"/>
      <c r="G6" s="1022"/>
      <c r="H6" s="1022"/>
      <c r="I6" s="1022" t="s">
        <v>117</v>
      </c>
      <c r="J6" s="1022"/>
      <c r="K6" s="1022" t="s">
        <v>123</v>
      </c>
      <c r="L6" s="1022"/>
      <c r="Z6" s="505">
        <v>1</v>
      </c>
    </row>
    <row customHeight="1" ht="11.549999999999999">
      <c r="D7" s="711"/>
      <c r="E7" s="2367" t="s">
        <v>105</v>
      </c>
      <c r="F7" s="2368"/>
      <c r="G7" s="2393" t="str">
        <f>IF(G6="","",INDEX(DIFFERENTIATION_UNMERGE_VD,MATCH(G6,DIFFERENTIATION_ID_DIFF,0)))</f>
        <v/>
      </c>
      <c r="H7" s="2394"/>
      <c r="I7" s="2393" t="str">
        <f>IF(I6="","",INDEX(DIFFERENTIATION_UNMERGE_VD,MATCH(I6,DIFFERENTIATION_ID_DIFF,0)))</f>
        <v>Производство тепловой энергии. Некомбинированная выработка</v>
      </c>
      <c r="J7" s="2394"/>
      <c r="K7" s="2393" t="str">
        <f>IF(K6="","",INDEX(DIFFERENTIATION_UNMERGE_VD,MATCH(K6,DIFFERENTIATION_ID_DIFF,0)))</f>
        <v>Производство. Теплоноситель</v>
      </c>
      <c r="L7" s="2394"/>
      <c r="M7" s="2175"/>
      <c r="N7" s="509"/>
      <c r="Z7" s="505">
        <v>11</v>
      </c>
    </row>
    <row customHeight="1" ht="11.549999999999999">
      <c r="A8" s="704"/>
      <c r="D8" s="711"/>
      <c r="E8" s="2367" t="s">
        <v>566</v>
      </c>
      <c r="F8" s="2368"/>
      <c r="G8" s="2393" t="str">
        <f>IF(G6="","",INDEX(DIFFERENTIATION_UNMERGE_AREA,MATCH(G6,DIFFERENTIATION_ID_DIFF,0)))</f>
        <v/>
      </c>
      <c r="H8" s="2394"/>
      <c r="I8" s="2393" t="str">
        <f>IF(I6="","",INDEX(DIFFERENTIATION_UNMERGE_AREA,MATCH(I6,DIFFERENTIATION_ID_DIFF,0)))</f>
        <v>без дифференциации</v>
      </c>
      <c r="J8" s="2394"/>
      <c r="K8" s="2393" t="str">
        <f>IF(K6="","",INDEX(DIFFERENTIATION_UNMERGE_AREA,MATCH(K6,DIFFERENTIATION_ID_DIFF,0)))</f>
        <v>без дифференциации</v>
      </c>
      <c r="L8" s="2394"/>
      <c r="M8" s="2199"/>
      <c r="N8" s="509"/>
      <c r="Z8" s="505">
        <v>11</v>
      </c>
    </row>
    <row customHeight="1" ht="11.549999999999999">
      <c r="A9" s="704"/>
      <c r="D9" s="711"/>
      <c r="E9" s="2367" t="s">
        <v>567</v>
      </c>
      <c r="F9" s="2368"/>
      <c r="G9" s="2393" t="str">
        <f>IF(G6="","",INDEX(DIFFERENTIATION_UNMERGE_SYSTEM,MATCH(G6,DIFFERENTIATION_ID_DIFF,0)))</f>
        <v/>
      </c>
      <c r="H9" s="2394"/>
      <c r="I9" s="2393" t="str">
        <f>IF(I6="","",INDEX(DIFFERENTIATION_UNMERGE_SYSTEM,MATCH(I6,DIFFERENTIATION_ID_DIFF,0)))</f>
        <v>без дифференциации</v>
      </c>
      <c r="J9" s="2394"/>
      <c r="K9" s="2393" t="str">
        <f>IF(K6="","",INDEX(DIFFERENTIATION_UNMERGE_SYSTEM,MATCH(K6,DIFFERENTIATION_ID_DIFF,0)))</f>
        <v>без дифференциации</v>
      </c>
      <c r="L9" s="2394"/>
      <c r="M9" s="2199"/>
      <c r="N9" s="509"/>
      <c r="Z9" s="505">
        <v>11</v>
      </c>
    </row>
    <row s="1635" customFormat="1" customHeight="1" ht="11.549999999999999">
      <c r="A10" s="1021"/>
      <c r="B10" s="511"/>
      <c r="D10" s="2101" t="s">
        <v>302</v>
      </c>
      <c r="E10" s="2102"/>
      <c r="F10" s="2102"/>
      <c r="G10" s="2102"/>
      <c r="H10" s="2102"/>
      <c r="I10" s="2102"/>
      <c r="J10" s="2103"/>
      <c r="K10" s="2269"/>
      <c r="L10" s="2269"/>
      <c r="M10" s="2199"/>
      <c r="N10" s="509"/>
      <c r="Z10" s="758">
        <v>11</v>
      </c>
    </row>
    <row s="1635" customFormat="1" customHeight="1" ht="24">
      <c r="A11" s="2385"/>
      <c r="B11" s="2385"/>
      <c r="C11" s="657"/>
      <c r="D11" s="703" t="s">
        <v>88</v>
      </c>
      <c r="E11" s="705" t="s">
        <v>809</v>
      </c>
      <c r="F11" s="705" t="s">
        <v>568</v>
      </c>
      <c r="G11" s="465" t="s">
        <v>305</v>
      </c>
      <c r="H11" s="465" t="s">
        <v>392</v>
      </c>
      <c r="I11" s="807" t="s">
        <v>305</v>
      </c>
      <c r="J11" s="808" t="s">
        <v>392</v>
      </c>
      <c r="K11" s="2312" t="s">
        <v>305</v>
      </c>
      <c r="L11" s="2312" t="s">
        <v>392</v>
      </c>
      <c r="M11" s="2232"/>
      <c r="N11" s="658"/>
      <c r="Z11" s="509">
        <v>23</v>
      </c>
    </row>
    <row s="1642" customFormat="1" customHeight="1" ht="10.5">
      <c r="A12" s="952"/>
      <c r="D12" s="1025" t="s">
        <v>109</v>
      </c>
      <c r="E12" s="1025" t="s">
        <v>110</v>
      </c>
      <c r="F12" s="1025" t="s">
        <v>90</v>
      </c>
      <c r="G12" s="1026" t="str">
        <f>G1&amp;".1"</f>
        <v>4.1</v>
      </c>
      <c r="H12" s="1026" t="str">
        <f>G1&amp;".2"</f>
        <v>4.2</v>
      </c>
      <c r="I12" s="1026" t="str">
        <f>I1&amp;".1"</f>
        <v>4.1</v>
      </c>
      <c r="J12" s="1026" t="str">
        <f>I1&amp;".2"</f>
        <v>4.2</v>
      </c>
      <c r="K12" s="2374" t="str">
        <f>K1&amp;".1"</f>
        <v>4.1</v>
      </c>
      <c r="L12" s="2374" t="str">
        <f>K1&amp;".2"</f>
        <v>4.2</v>
      </c>
      <c r="M12" s="1026"/>
      <c r="Z12" s="511">
        <v>10</v>
      </c>
    </row>
    <row customHeight="1" ht="22.5">
      <c r="A13" s="2392" t="s">
        <v>810</v>
      </c>
      <c r="D13" s="953" t="s">
        <v>109</v>
      </c>
      <c r="E13" s="279" t="s">
        <v>811</v>
      </c>
      <c r="F13" s="660" t="s">
        <v>812</v>
      </c>
      <c r="G13" s="557"/>
      <c r="H13" s="661"/>
      <c r="I13" s="557"/>
      <c r="J13" s="661"/>
      <c r="K13" s="557"/>
      <c r="L13" s="662"/>
      <c r="M13" s="289" t="s">
        <v>813</v>
      </c>
      <c r="N13" s="720"/>
      <c r="Z13" s="505">
        <v>0</v>
      </c>
    </row>
    <row customHeight="1" ht="22.5">
      <c r="A14" s="2392"/>
      <c r="D14" s="539" t="s">
        <v>110</v>
      </c>
      <c r="E14" s="279" t="s">
        <v>814</v>
      </c>
      <c r="F14" s="660" t="s">
        <v>815</v>
      </c>
      <c r="G14" s="557"/>
      <c r="H14" s="662"/>
      <c r="I14" s="557"/>
      <c r="J14" s="662"/>
      <c r="K14" s="557"/>
      <c r="L14" s="662"/>
      <c r="M14" s="289" t="s">
        <v>816</v>
      </c>
      <c r="N14" s="720"/>
      <c r="Z14" s="505">
        <v>0</v>
      </c>
    </row>
    <row s="1635" customFormat="1" customHeight="1" ht="78.75">
      <c r="A15" s="2392"/>
      <c r="B15" s="511"/>
      <c r="D15" s="953" t="s">
        <v>90</v>
      </c>
      <c r="E15" s="707" t="s">
        <v>817</v>
      </c>
      <c r="F15" s="950" t="s">
        <v>308</v>
      </c>
      <c r="G15" s="950" t="s">
        <v>308</v>
      </c>
      <c r="H15" s="106"/>
      <c r="I15" s="950" t="s">
        <v>308</v>
      </c>
      <c r="J15" s="106"/>
      <c r="K15" s="2312" t="s">
        <v>308</v>
      </c>
      <c r="L15" s="2501"/>
      <c r="M15" s="289" t="s">
        <v>818</v>
      </c>
      <c r="N15" s="720"/>
      <c r="Z15" s="758">
        <v>0</v>
      </c>
    </row>
    <row s="1635" customFormat="1" customHeight="1" ht="22.5">
      <c r="A16" s="2392"/>
      <c r="B16" s="511"/>
      <c r="D16" s="953" t="s">
        <v>326</v>
      </c>
      <c r="E16" s="954" t="s">
        <v>819</v>
      </c>
      <c r="F16" s="950" t="s">
        <v>820</v>
      </c>
      <c r="G16" s="817"/>
      <c r="H16" s="106"/>
      <c r="I16" s="817"/>
      <c r="J16" s="106"/>
      <c r="K16" s="817"/>
      <c r="L16" s="2501"/>
      <c r="M16" s="289"/>
      <c r="N16" s="720"/>
      <c r="Z16" s="758">
        <v>0</v>
      </c>
    </row>
    <row s="1635" customFormat="1" customHeight="1" ht="22.5">
      <c r="A17" s="2392"/>
      <c r="B17" s="511"/>
      <c r="D17" s="953" t="s">
        <v>334</v>
      </c>
      <c r="E17" s="954" t="s">
        <v>821</v>
      </c>
      <c r="F17" s="950" t="s">
        <v>822</v>
      </c>
      <c r="G17" s="817"/>
      <c r="H17" s="106"/>
      <c r="I17" s="817"/>
      <c r="J17" s="106"/>
      <c r="K17" s="817"/>
      <c r="L17" s="2501"/>
      <c r="M17" s="289"/>
      <c r="N17" s="720"/>
      <c r="Z17" s="758">
        <v>0</v>
      </c>
    </row>
    <row s="1635" customFormat="1" customHeight="1" ht="33.75">
      <c r="A18" s="2392"/>
      <c r="B18" s="511"/>
      <c r="D18" s="953" t="s">
        <v>336</v>
      </c>
      <c r="E18" s="954" t="s">
        <v>823</v>
      </c>
      <c r="F18" s="950" t="s">
        <v>573</v>
      </c>
      <c r="G18" s="680"/>
      <c r="H18" s="106"/>
      <c r="I18" s="680"/>
      <c r="J18" s="106"/>
      <c r="K18" s="680"/>
      <c r="L18" s="2501"/>
      <c r="M18" s="289"/>
      <c r="N18" s="720"/>
      <c r="Z18" s="758">
        <v>0</v>
      </c>
    </row>
    <row customHeight="1" ht="101.25">
      <c r="A19" s="2392"/>
      <c r="D19" s="953" t="s">
        <v>91</v>
      </c>
      <c r="E19" s="279" t="s">
        <v>824</v>
      </c>
      <c r="F19" s="660" t="s">
        <v>548</v>
      </c>
      <c r="G19" s="663"/>
      <c r="H19" s="662"/>
      <c r="I19" s="955"/>
      <c r="J19" s="662"/>
      <c r="K19" s="2517"/>
      <c r="L19" s="662"/>
      <c r="M19" s="289" t="s">
        <v>825</v>
      </c>
      <c r="N19" s="720"/>
      <c r="Z19" s="505">
        <v>0</v>
      </c>
    </row>
    <row s="1635" customFormat="1" customHeight="1" ht="18.75">
      <c r="A20" s="2392"/>
      <c r="C20" s="956"/>
      <c r="D20" s="953" t="s">
        <v>756</v>
      </c>
      <c r="E20" s="954" t="s">
        <v>826</v>
      </c>
      <c r="F20" s="950" t="s">
        <v>308</v>
      </c>
      <c r="G20" s="950" t="s">
        <v>308</v>
      </c>
      <c r="H20" s="949" t="s">
        <v>308</v>
      </c>
      <c r="I20" s="950" t="s">
        <v>308</v>
      </c>
      <c r="J20" s="949" t="s">
        <v>308</v>
      </c>
      <c r="K20" s="2312" t="s">
        <v>308</v>
      </c>
      <c r="L20" s="2260" t="s">
        <v>308</v>
      </c>
      <c r="M20" s="948"/>
      <c r="N20" s="720"/>
      <c r="Y20" s="675"/>
      <c r="Z20" s="758">
        <v>0</v>
      </c>
    </row>
    <row s="1635" customFormat="1" customHeight="1" ht="33.75">
      <c r="A21" s="2392"/>
      <c r="C21" s="956"/>
      <c r="D21" s="953" t="s">
        <v>759</v>
      </c>
      <c r="E21" s="576" t="s">
        <v>827</v>
      </c>
      <c r="F21" s="950" t="s">
        <v>828</v>
      </c>
      <c r="G21" s="680"/>
      <c r="H21" s="106"/>
      <c r="I21" s="680"/>
      <c r="J21" s="106"/>
      <c r="K21" s="680"/>
      <c r="L21" s="2501"/>
      <c r="M21" s="948"/>
      <c r="N21" s="720"/>
      <c r="Y21" s="675"/>
      <c r="Z21" s="758">
        <v>0</v>
      </c>
    </row>
    <row s="1635" customFormat="1" customHeight="1" ht="33.75">
      <c r="A22" s="2392"/>
      <c r="C22" s="956"/>
      <c r="D22" s="953" t="s">
        <v>762</v>
      </c>
      <c r="E22" s="576" t="s">
        <v>829</v>
      </c>
      <c r="F22" s="950" t="s">
        <v>830</v>
      </c>
      <c r="G22" s="680"/>
      <c r="H22" s="106"/>
      <c r="I22" s="680"/>
      <c r="J22" s="106"/>
      <c r="K22" s="680"/>
      <c r="L22" s="2501"/>
      <c r="M22" s="948"/>
      <c r="N22" s="720"/>
      <c r="Y22" s="675"/>
      <c r="Z22" s="758">
        <v>0</v>
      </c>
    </row>
    <row s="1635" customFormat="1" customHeight="1" ht="22.5">
      <c r="A23" s="2392"/>
      <c r="C23" s="956"/>
      <c r="D23" s="953" t="s">
        <v>798</v>
      </c>
      <c r="E23" s="954" t="s">
        <v>831</v>
      </c>
      <c r="F23" s="950" t="s">
        <v>308</v>
      </c>
      <c r="G23" s="950" t="s">
        <v>308</v>
      </c>
      <c r="H23" s="949" t="s">
        <v>308</v>
      </c>
      <c r="I23" s="950" t="s">
        <v>308</v>
      </c>
      <c r="J23" s="949" t="s">
        <v>308</v>
      </c>
      <c r="K23" s="2312" t="s">
        <v>308</v>
      </c>
      <c r="L23" s="2260" t="s">
        <v>308</v>
      </c>
      <c r="M23" s="948"/>
      <c r="N23" s="720"/>
      <c r="Y23" s="675"/>
      <c r="Z23" s="758">
        <v>0</v>
      </c>
    </row>
    <row s="1635" customFormat="1" customHeight="1" ht="22.5">
      <c r="A24" s="2392"/>
      <c r="C24" s="956"/>
      <c r="D24" s="953" t="s">
        <v>832</v>
      </c>
      <c r="E24" s="576" t="s">
        <v>833</v>
      </c>
      <c r="F24" s="950" t="s">
        <v>834</v>
      </c>
      <c r="G24" s="680"/>
      <c r="H24" s="686"/>
      <c r="I24" s="680"/>
      <c r="J24" s="686"/>
      <c r="K24" s="680"/>
      <c r="L24" s="2353"/>
      <c r="M24" s="948"/>
      <c r="N24" s="720"/>
      <c r="Y24" s="675"/>
      <c r="Z24" s="758">
        <v>0</v>
      </c>
    </row>
    <row s="1635" customFormat="1" customHeight="1" ht="22.5">
      <c r="A25" s="2392"/>
      <c r="C25" s="956"/>
      <c r="D25" s="953" t="s">
        <v>835</v>
      </c>
      <c r="E25" s="576" t="s">
        <v>836</v>
      </c>
      <c r="F25" s="950" t="s">
        <v>308</v>
      </c>
      <c r="G25" s="950" t="s">
        <v>308</v>
      </c>
      <c r="H25" s="949" t="s">
        <v>308</v>
      </c>
      <c r="I25" s="950" t="s">
        <v>308</v>
      </c>
      <c r="J25" s="949" t="s">
        <v>308</v>
      </c>
      <c r="K25" s="2312" t="s">
        <v>308</v>
      </c>
      <c r="L25" s="2260" t="s">
        <v>308</v>
      </c>
      <c r="M25" s="948"/>
      <c r="N25" s="720"/>
      <c r="Y25" s="675"/>
      <c r="Z25" s="758">
        <v>0</v>
      </c>
    </row>
    <row s="1635" customFormat="1" customHeight="1" ht="18.75">
      <c r="A26" s="2392"/>
      <c r="C26" s="956"/>
      <c r="D26" s="953" t="s">
        <v>837</v>
      </c>
      <c r="E26" s="553" t="s">
        <v>838</v>
      </c>
      <c r="F26" s="950" t="s">
        <v>839</v>
      </c>
      <c r="G26" s="680"/>
      <c r="H26" s="686"/>
      <c r="I26" s="680"/>
      <c r="J26" s="686"/>
      <c r="K26" s="680"/>
      <c r="L26" s="2353"/>
      <c r="M26" s="948"/>
      <c r="N26" s="720"/>
      <c r="Y26" s="675"/>
      <c r="Z26" s="758">
        <v>0</v>
      </c>
    </row>
    <row s="1635" customFormat="1" customHeight="1" ht="18.75">
      <c r="A27" s="2392"/>
      <c r="C27" s="956"/>
      <c r="D27" s="953" t="s">
        <v>840</v>
      </c>
      <c r="E27" s="553" t="s">
        <v>841</v>
      </c>
      <c r="F27" s="950" t="s">
        <v>842</v>
      </c>
      <c r="G27" s="680"/>
      <c r="H27" s="686"/>
      <c r="I27" s="680"/>
      <c r="J27" s="686"/>
      <c r="K27" s="680"/>
      <c r="L27" s="2353"/>
      <c r="M27" s="948"/>
      <c r="N27" s="720"/>
      <c r="Y27" s="675"/>
      <c r="Z27" s="758">
        <v>0</v>
      </c>
    </row>
    <row s="1635" customFormat="1" customHeight="1" ht="18.75">
      <c r="A28" s="2392"/>
      <c r="C28" s="956"/>
      <c r="D28" s="953" t="s">
        <v>843</v>
      </c>
      <c r="E28" s="576" t="s">
        <v>844</v>
      </c>
      <c r="F28" s="950" t="s">
        <v>308</v>
      </c>
      <c r="G28" s="950" t="s">
        <v>308</v>
      </c>
      <c r="H28" s="949" t="s">
        <v>308</v>
      </c>
      <c r="I28" s="950" t="s">
        <v>308</v>
      </c>
      <c r="J28" s="949" t="s">
        <v>308</v>
      </c>
      <c r="K28" s="2312" t="s">
        <v>308</v>
      </c>
      <c r="L28" s="2260" t="s">
        <v>308</v>
      </c>
      <c r="M28" s="948"/>
      <c r="N28" s="720"/>
      <c r="Y28" s="675"/>
      <c r="Z28" s="758">
        <v>0</v>
      </c>
    </row>
    <row s="1635" customFormat="1" customHeight="1" ht="18.75">
      <c r="A29" s="2392"/>
      <c r="C29" s="956"/>
      <c r="D29" s="953" t="s">
        <v>845</v>
      </c>
      <c r="E29" s="553" t="s">
        <v>838</v>
      </c>
      <c r="F29" s="950" t="s">
        <v>846</v>
      </c>
      <c r="G29" s="680"/>
      <c r="H29" s="686"/>
      <c r="I29" s="680"/>
      <c r="J29" s="686"/>
      <c r="K29" s="680"/>
      <c r="L29" s="2353"/>
      <c r="M29" s="948"/>
      <c r="N29" s="720"/>
      <c r="Y29" s="675"/>
      <c r="Z29" s="758">
        <v>0</v>
      </c>
    </row>
    <row s="1635" customFormat="1" customHeight="1" ht="18.75">
      <c r="A30" s="2392"/>
      <c r="C30" s="956"/>
      <c r="D30" s="953" t="s">
        <v>847</v>
      </c>
      <c r="E30" s="553" t="s">
        <v>848</v>
      </c>
      <c r="F30" s="950" t="s">
        <v>849</v>
      </c>
      <c r="G30" s="680"/>
      <c r="H30" s="686"/>
      <c r="I30" s="680"/>
      <c r="J30" s="686"/>
      <c r="K30" s="680"/>
      <c r="L30" s="2353"/>
      <c r="M30" s="948"/>
      <c r="N30" s="720"/>
      <c r="Y30" s="675"/>
      <c r="Z30" s="758">
        <v>0</v>
      </c>
    </row>
    <row customHeight="1" ht="126.75">
      <c r="A31" s="2392"/>
      <c r="D31" s="953" t="s">
        <v>111</v>
      </c>
      <c r="E31" s="279" t="s">
        <v>850</v>
      </c>
      <c r="F31" s="660" t="s">
        <v>560</v>
      </c>
      <c r="G31" s="557"/>
      <c r="H31" s="662"/>
      <c r="I31" s="557"/>
      <c r="J31" s="662"/>
      <c r="K31" s="557"/>
      <c r="L31" s="662"/>
      <c r="M31" s="289" t="s">
        <v>851</v>
      </c>
      <c r="N31" s="720"/>
      <c r="Z31" s="505">
        <v>0</v>
      </c>
    </row>
    <row customHeight="1" ht="56.25">
      <c r="A32" s="2392"/>
      <c r="D32" s="953" t="s">
        <v>92</v>
      </c>
      <c r="E32" s="279" t="s">
        <v>852</v>
      </c>
      <c r="F32" s="539" t="s">
        <v>822</v>
      </c>
      <c r="G32" s="557"/>
      <c r="H32" s="662"/>
      <c r="I32" s="557"/>
      <c r="J32" s="662"/>
      <c r="K32" s="557"/>
      <c r="L32" s="662"/>
      <c r="M32" s="289" t="s">
        <v>853</v>
      </c>
      <c r="N32" s="720"/>
      <c r="Z32" s="505">
        <v>0</v>
      </c>
    </row>
    <row customHeight="1" ht="11.25">
      <c r="A33" s="2392"/>
      <c r="E33" s="664"/>
      <c r="F33" s="181"/>
      <c r="G33" s="181"/>
      <c r="H33" s="181"/>
      <c r="I33" s="181"/>
      <c r="J33" s="181"/>
      <c r="K33" s="1064"/>
      <c r="L33" s="1064"/>
      <c r="M33" s="181"/>
      <c r="Z33" s="505">
        <v>0</v>
      </c>
    </row>
    <row customHeight="1" ht="12.75">
      <c r="A34" s="2392"/>
      <c r="D34" s="65">
        <v>1</v>
      </c>
      <c r="E34" s="335" t="s">
        <v>854</v>
      </c>
      <c r="K34" s="1635"/>
      <c r="L34" s="1635"/>
      <c r="Z34" s="505">
        <v>0</v>
      </c>
    </row>
    <row customHeight="1" ht="11.25">
      <c r="A35" s="2392"/>
      <c r="D35" s="369"/>
      <c r="E35" s="335" t="s">
        <v>855</v>
      </c>
      <c r="K35" s="1635"/>
      <c r="L35" s="1635"/>
      <c r="Z35" s="505">
        <v>0</v>
      </c>
    </row>
    <row s="1635" customFormat="1" customHeight="1" ht="11.549999999999999">
      <c r="A36" s="1033"/>
      <c r="B36" s="518"/>
      <c r="D36" s="1034"/>
      <c r="E36" s="1035"/>
      <c r="K36" s="1635"/>
      <c r="L36" s="1635"/>
      <c r="Z36" s="509">
        <v>11</v>
      </c>
    </row>
    <row s="1635" customFormat="1" customHeight="1" ht="22.5" hidden="1">
      <c r="A37" s="2392" t="s">
        <v>856</v>
      </c>
      <c r="B37" s="511"/>
      <c r="D37" s="953">
        <v>1</v>
      </c>
      <c r="E37" s="707" t="s">
        <v>857</v>
      </c>
      <c r="F37" s="660" t="s">
        <v>812</v>
      </c>
      <c r="G37" s="557"/>
      <c r="H37" s="519"/>
      <c r="I37" s="557"/>
      <c r="J37" s="519"/>
      <c r="K37" s="557"/>
      <c r="L37" s="519"/>
      <c r="M37" s="289" t="s">
        <v>858</v>
      </c>
      <c r="Z37" s="758">
        <v>0</v>
      </c>
    </row>
    <row s="1635" customFormat="1" customHeight="1" ht="22.5" hidden="1">
      <c r="A38" s="2392"/>
      <c r="B38" s="511"/>
      <c r="D38" s="669" t="s">
        <v>110</v>
      </c>
      <c r="E38" s="1032" t="s">
        <v>859</v>
      </c>
      <c r="F38" s="1036" t="s">
        <v>548</v>
      </c>
      <c r="G38" s="1036" t="s">
        <v>548</v>
      </c>
      <c r="H38" s="1030"/>
      <c r="I38" s="1036" t="s">
        <v>548</v>
      </c>
      <c r="J38" s="1030"/>
      <c r="K38" s="1036" t="s">
        <v>548</v>
      </c>
      <c r="L38" s="1030"/>
      <c r="M38" s="1031"/>
      <c r="Z38" s="758">
        <v>0</v>
      </c>
    </row>
    <row s="1635" customFormat="1" customHeight="1" ht="33.75" hidden="1">
      <c r="A39" s="2392"/>
      <c r="B39" s="511"/>
      <c r="D39" s="665" t="s">
        <v>714</v>
      </c>
      <c r="E39" s="723" t="s">
        <v>860</v>
      </c>
      <c r="F39" s="660" t="s">
        <v>861</v>
      </c>
      <c r="G39" s="668"/>
      <c r="H39" s="1023"/>
      <c r="I39" s="668"/>
      <c r="J39" s="1023"/>
      <c r="K39" s="1169"/>
      <c r="L39" s="1023"/>
      <c r="M39" s="289" t="s">
        <v>862</v>
      </c>
      <c r="Z39" s="758">
        <v>0</v>
      </c>
    </row>
    <row s="1635" customFormat="1" customHeight="1" ht="33.75" hidden="1">
      <c r="A40" s="2392"/>
      <c r="B40" s="511"/>
      <c r="D40" s="665" t="s">
        <v>717</v>
      </c>
      <c r="E40" s="723" t="s">
        <v>863</v>
      </c>
      <c r="F40" s="1027" t="s">
        <v>864</v>
      </c>
      <c r="G40" s="741"/>
      <c r="H40" s="1023"/>
      <c r="I40" s="741"/>
      <c r="J40" s="1023"/>
      <c r="K40" s="741"/>
      <c r="L40" s="1023"/>
      <c r="M40" s="289" t="s">
        <v>865</v>
      </c>
      <c r="Z40" s="758">
        <v>0</v>
      </c>
    </row>
    <row s="1635" customFormat="1" customHeight="1" ht="22.5" hidden="1">
      <c r="A41" s="2392"/>
      <c r="B41" s="511"/>
      <c r="D41" s="665" t="s">
        <v>90</v>
      </c>
      <c r="E41" s="722" t="s">
        <v>866</v>
      </c>
      <c r="F41" s="660" t="s">
        <v>548</v>
      </c>
      <c r="G41" s="660" t="s">
        <v>548</v>
      </c>
      <c r="H41" s="1024"/>
      <c r="I41" s="660" t="s">
        <v>548</v>
      </c>
      <c r="J41" s="1024"/>
      <c r="K41" s="2104" t="s">
        <v>548</v>
      </c>
      <c r="L41" s="1024"/>
      <c r="M41" s="302"/>
      <c r="Z41" s="758">
        <v>0</v>
      </c>
    </row>
    <row s="1635" customFormat="1" customHeight="1" ht="45" hidden="1">
      <c r="A42" s="2392"/>
      <c r="B42" s="511"/>
      <c r="D42" s="665" t="s">
        <v>326</v>
      </c>
      <c r="E42" s="723" t="s">
        <v>867</v>
      </c>
      <c r="F42" s="660" t="s">
        <v>560</v>
      </c>
      <c r="G42" s="557"/>
      <c r="H42" s="1024"/>
      <c r="I42" s="557"/>
      <c r="J42" s="1024"/>
      <c r="K42" s="557"/>
      <c r="L42" s="1024"/>
      <c r="M42" s="302" t="s">
        <v>868</v>
      </c>
      <c r="Z42" s="758">
        <v>0</v>
      </c>
    </row>
    <row s="1635" customFormat="1" customHeight="1" ht="45" hidden="1">
      <c r="A43" s="2392"/>
      <c r="B43" s="511"/>
      <c r="D43" s="665" t="s">
        <v>334</v>
      </c>
      <c r="E43" s="667" t="s">
        <v>869</v>
      </c>
      <c r="F43" s="1028" t="s">
        <v>560</v>
      </c>
      <c r="G43" s="742"/>
      <c r="H43" s="1023"/>
      <c r="I43" s="742"/>
      <c r="J43" s="1023"/>
      <c r="K43" s="742"/>
      <c r="L43" s="1023"/>
      <c r="M43" s="302" t="s">
        <v>870</v>
      </c>
      <c r="Z43" s="758">
        <v>0</v>
      </c>
    </row>
    <row s="1635" customFormat="1" customHeight="1" ht="11.25" hidden="1">
      <c r="A44" s="2392"/>
      <c r="B44" s="511"/>
      <c r="D44" s="665" t="s">
        <v>91</v>
      </c>
      <c r="E44" s="666" t="s">
        <v>871</v>
      </c>
      <c r="F44" s="660" t="s">
        <v>861</v>
      </c>
      <c r="G44" s="668"/>
      <c r="H44" s="1023"/>
      <c r="I44" s="668"/>
      <c r="J44" s="1023"/>
      <c r="K44" s="1169"/>
      <c r="L44" s="1023"/>
      <c r="M44" s="289"/>
      <c r="Z44" s="758">
        <v>0</v>
      </c>
    </row>
    <row s="1635" customFormat="1" customHeight="1" ht="11.25" hidden="1">
      <c r="A45" s="2392"/>
      <c r="B45" s="511"/>
      <c r="D45" s="665" t="s">
        <v>756</v>
      </c>
      <c r="E45" s="667" t="s">
        <v>872</v>
      </c>
      <c r="F45" s="660" t="s">
        <v>861</v>
      </c>
      <c r="G45" s="668"/>
      <c r="H45" s="1023"/>
      <c r="I45" s="668"/>
      <c r="J45" s="1023"/>
      <c r="K45" s="1169"/>
      <c r="L45" s="1023"/>
      <c r="M45" s="289"/>
      <c r="Z45" s="758">
        <v>0</v>
      </c>
    </row>
    <row s="1635" customFormat="1" customHeight="1" ht="11.25" hidden="1">
      <c r="A46" s="2392"/>
      <c r="B46" s="511"/>
      <c r="D46" s="665" t="s">
        <v>798</v>
      </c>
      <c r="E46" s="667" t="s">
        <v>873</v>
      </c>
      <c r="F46" s="660" t="s">
        <v>861</v>
      </c>
      <c r="G46" s="668"/>
      <c r="H46" s="1023"/>
      <c r="I46" s="668"/>
      <c r="J46" s="1023"/>
      <c r="K46" s="1169"/>
      <c r="L46" s="1023"/>
      <c r="M46" s="289"/>
      <c r="Z46" s="758">
        <v>0</v>
      </c>
    </row>
    <row s="1635" customFormat="1" customHeight="1" ht="11.25" hidden="1">
      <c r="A47" s="2392"/>
      <c r="B47" s="511"/>
      <c r="D47" s="665" t="s">
        <v>801</v>
      </c>
      <c r="E47" s="667" t="s">
        <v>874</v>
      </c>
      <c r="F47" s="660" t="s">
        <v>861</v>
      </c>
      <c r="G47" s="668"/>
      <c r="H47" s="1023"/>
      <c r="I47" s="668"/>
      <c r="J47" s="1023"/>
      <c r="K47" s="1169"/>
      <c r="L47" s="1023"/>
      <c r="M47" s="289"/>
      <c r="Z47" s="758">
        <v>0</v>
      </c>
    </row>
    <row s="1635" customFormat="1" customHeight="1" ht="11.25" hidden="1">
      <c r="A48" s="2392"/>
      <c r="B48" s="511"/>
      <c r="D48" s="665" t="s">
        <v>875</v>
      </c>
      <c r="E48" s="671" t="s">
        <v>876</v>
      </c>
      <c r="F48" s="660" t="s">
        <v>861</v>
      </c>
      <c r="G48" s="668"/>
      <c r="H48" s="1023"/>
      <c r="I48" s="668"/>
      <c r="J48" s="1023"/>
      <c r="K48" s="1169"/>
      <c r="L48" s="1023"/>
      <c r="M48" s="289"/>
      <c r="Z48" s="758">
        <v>0</v>
      </c>
    </row>
    <row s="1635" customFormat="1" customHeight="1" ht="11.25" hidden="1">
      <c r="A49" s="2392"/>
      <c r="B49" s="511"/>
      <c r="D49" s="665" t="s">
        <v>877</v>
      </c>
      <c r="E49" s="671" t="s">
        <v>878</v>
      </c>
      <c r="F49" s="660" t="s">
        <v>861</v>
      </c>
      <c r="G49" s="668"/>
      <c r="H49" s="1023"/>
      <c r="I49" s="668"/>
      <c r="J49" s="1023"/>
      <c r="K49" s="1169"/>
      <c r="L49" s="1023"/>
      <c r="M49" s="289"/>
      <c r="Z49" s="758">
        <v>0</v>
      </c>
    </row>
    <row s="1635" customFormat="1" customHeight="1" ht="11.25" hidden="1">
      <c r="A50" s="2392"/>
      <c r="B50" s="511"/>
      <c r="D50" s="665" t="s">
        <v>879</v>
      </c>
      <c r="E50" s="667" t="s">
        <v>880</v>
      </c>
      <c r="F50" s="660" t="s">
        <v>861</v>
      </c>
      <c r="G50" s="668"/>
      <c r="H50" s="1023"/>
      <c r="I50" s="668"/>
      <c r="J50" s="1023"/>
      <c r="K50" s="1169"/>
      <c r="L50" s="1023"/>
      <c r="M50" s="289"/>
      <c r="Z50" s="758">
        <v>0</v>
      </c>
    </row>
    <row s="1635" customFormat="1" customHeight="1" ht="11.25" hidden="1">
      <c r="A51" s="2392"/>
      <c r="B51" s="511"/>
      <c r="D51" s="665" t="s">
        <v>881</v>
      </c>
      <c r="E51" s="667" t="s">
        <v>882</v>
      </c>
      <c r="F51" s="660" t="s">
        <v>861</v>
      </c>
      <c r="G51" s="668"/>
      <c r="H51" s="1023"/>
      <c r="I51" s="668"/>
      <c r="J51" s="1023"/>
      <c r="K51" s="1169"/>
      <c r="L51" s="1023"/>
      <c r="M51" s="289"/>
      <c r="Z51" s="758">
        <v>0</v>
      </c>
    </row>
    <row s="1635" customFormat="1" customHeight="1" ht="45" hidden="1">
      <c r="A52" s="2392"/>
      <c r="B52" s="511"/>
      <c r="D52" s="665" t="s">
        <v>111</v>
      </c>
      <c r="E52" s="666" t="s">
        <v>883</v>
      </c>
      <c r="F52" s="660" t="s">
        <v>861</v>
      </c>
      <c r="G52" s="668"/>
      <c r="H52" s="1023"/>
      <c r="I52" s="668"/>
      <c r="J52" s="1023"/>
      <c r="K52" s="1169"/>
      <c r="L52" s="1023"/>
      <c r="M52" s="289"/>
      <c r="Z52" s="758">
        <v>0</v>
      </c>
    </row>
    <row s="1635" customFormat="1" customHeight="1" ht="11.25" hidden="1">
      <c r="A53" s="2392"/>
      <c r="B53" s="511"/>
      <c r="D53" s="665" t="s">
        <v>315</v>
      </c>
      <c r="E53" s="667" t="s">
        <v>872</v>
      </c>
      <c r="F53" s="660" t="s">
        <v>861</v>
      </c>
      <c r="G53" s="668"/>
      <c r="H53" s="1023"/>
      <c r="I53" s="668"/>
      <c r="J53" s="1023"/>
      <c r="K53" s="1169"/>
      <c r="L53" s="1023"/>
      <c r="M53" s="289"/>
      <c r="Z53" s="758">
        <v>0</v>
      </c>
    </row>
    <row s="1635" customFormat="1" customHeight="1" ht="11.25" hidden="1">
      <c r="A54" s="2392"/>
      <c r="B54" s="511"/>
      <c r="D54" s="665" t="s">
        <v>884</v>
      </c>
      <c r="E54" s="667" t="s">
        <v>873</v>
      </c>
      <c r="F54" s="660" t="s">
        <v>861</v>
      </c>
      <c r="G54" s="668"/>
      <c r="H54" s="1023"/>
      <c r="I54" s="668"/>
      <c r="J54" s="1023"/>
      <c r="K54" s="1169"/>
      <c r="L54" s="1023"/>
      <c r="M54" s="289"/>
      <c r="Z54" s="758">
        <v>0</v>
      </c>
    </row>
    <row s="1635" customFormat="1" customHeight="1" ht="11.25" hidden="1">
      <c r="A55" s="2392"/>
      <c r="B55" s="511"/>
      <c r="D55" s="665" t="s">
        <v>885</v>
      </c>
      <c r="E55" s="667" t="s">
        <v>874</v>
      </c>
      <c r="F55" s="660" t="s">
        <v>861</v>
      </c>
      <c r="G55" s="668"/>
      <c r="H55" s="1023"/>
      <c r="I55" s="668"/>
      <c r="J55" s="1023"/>
      <c r="K55" s="1169"/>
      <c r="L55" s="1023"/>
      <c r="M55" s="289"/>
      <c r="Z55" s="758">
        <v>0</v>
      </c>
    </row>
    <row s="1635" customFormat="1" customHeight="1" ht="11.25" hidden="1">
      <c r="A56" s="2392"/>
      <c r="B56" s="511"/>
      <c r="D56" s="665" t="s">
        <v>886</v>
      </c>
      <c r="E56" s="671" t="s">
        <v>876</v>
      </c>
      <c r="F56" s="660" t="s">
        <v>861</v>
      </c>
      <c r="G56" s="668"/>
      <c r="H56" s="1023"/>
      <c r="I56" s="668"/>
      <c r="J56" s="1023"/>
      <c r="K56" s="1169"/>
      <c r="L56" s="1023"/>
      <c r="M56" s="289"/>
      <c r="Z56" s="758">
        <v>0</v>
      </c>
    </row>
    <row s="1635" customFormat="1" customHeight="1" ht="11.25" hidden="1">
      <c r="A57" s="2392"/>
      <c r="B57" s="511"/>
      <c r="D57" s="665" t="s">
        <v>887</v>
      </c>
      <c r="E57" s="671" t="s">
        <v>878</v>
      </c>
      <c r="F57" s="660" t="s">
        <v>861</v>
      </c>
      <c r="G57" s="668"/>
      <c r="H57" s="1023"/>
      <c r="I57" s="668"/>
      <c r="J57" s="1023"/>
      <c r="K57" s="1169"/>
      <c r="L57" s="1023"/>
      <c r="M57" s="289"/>
      <c r="Z57" s="758">
        <v>0</v>
      </c>
    </row>
    <row s="1635" customFormat="1" customHeight="1" ht="11.25" hidden="1">
      <c r="A58" s="2392"/>
      <c r="B58" s="511"/>
      <c r="D58" s="665" t="s">
        <v>888</v>
      </c>
      <c r="E58" s="667" t="s">
        <v>880</v>
      </c>
      <c r="F58" s="660" t="s">
        <v>861</v>
      </c>
      <c r="G58" s="668"/>
      <c r="H58" s="1023"/>
      <c r="I58" s="668"/>
      <c r="J58" s="1023"/>
      <c r="K58" s="1169"/>
      <c r="L58" s="1023"/>
      <c r="M58" s="289"/>
      <c r="Z58" s="758">
        <v>0</v>
      </c>
    </row>
    <row s="1635" customFormat="1" customHeight="1" ht="11.25" hidden="1">
      <c r="A59" s="2392"/>
      <c r="B59" s="511"/>
      <c r="D59" s="665" t="s">
        <v>889</v>
      </c>
      <c r="E59" s="667" t="s">
        <v>882</v>
      </c>
      <c r="F59" s="660" t="s">
        <v>861</v>
      </c>
      <c r="G59" s="668"/>
      <c r="H59" s="1023"/>
      <c r="I59" s="668"/>
      <c r="J59" s="1023"/>
      <c r="K59" s="1169"/>
      <c r="L59" s="1023"/>
      <c r="M59" s="289"/>
      <c r="Z59" s="758">
        <v>0</v>
      </c>
    </row>
    <row s="1635" customFormat="1" customHeight="1" ht="33.75" hidden="1">
      <c r="A60" s="2392"/>
      <c r="B60" s="511"/>
      <c r="D60" s="665" t="s">
        <v>92</v>
      </c>
      <c r="E60" s="666" t="s">
        <v>890</v>
      </c>
      <c r="F60" s="721" t="s">
        <v>560</v>
      </c>
      <c r="G60" s="742"/>
      <c r="H60" s="1023"/>
      <c r="I60" s="742"/>
      <c r="J60" s="1023"/>
      <c r="K60" s="742"/>
      <c r="L60" s="1023"/>
      <c r="M60" s="302" t="s">
        <v>891</v>
      </c>
      <c r="Z60" s="758">
        <v>0</v>
      </c>
    </row>
    <row s="1635" customFormat="1" customHeight="1" ht="33.75" hidden="1">
      <c r="A61" s="2392"/>
      <c r="B61" s="511"/>
      <c r="D61" s="665" t="s">
        <v>93</v>
      </c>
      <c r="E61" s="666" t="s">
        <v>892</v>
      </c>
      <c r="F61" s="726" t="s">
        <v>822</v>
      </c>
      <c r="G61" s="668"/>
      <c r="H61" s="1023"/>
      <c r="I61" s="668"/>
      <c r="J61" s="1023"/>
      <c r="K61" s="1169"/>
      <c r="L61" s="1023"/>
      <c r="M61" s="289"/>
      <c r="Z61" s="758">
        <v>0</v>
      </c>
    </row>
    <row s="1635" customFormat="1" customHeight="1" ht="22.5" hidden="1">
      <c r="A62" s="2392"/>
      <c r="B62" s="511" t="s">
        <v>590</v>
      </c>
      <c r="D62" s="665" t="s">
        <v>112</v>
      </c>
      <c r="E62" s="666" t="s">
        <v>893</v>
      </c>
      <c r="F62" s="726" t="s">
        <v>308</v>
      </c>
      <c r="G62" s="382"/>
      <c r="H62" s="1023"/>
      <c r="I62" s="382"/>
      <c r="J62" s="1023"/>
      <c r="K62" s="1164"/>
      <c r="L62" s="1023"/>
      <c r="M62" s="289" t="s">
        <v>634</v>
      </c>
      <c r="Z62" s="758">
        <v>0</v>
      </c>
    </row>
    <row s="1635" customFormat="1" customHeight="1" ht="45" hidden="1">
      <c r="A63" s="2392"/>
      <c r="B63" s="511" t="s">
        <v>590</v>
      </c>
      <c r="D63" s="665" t="s">
        <v>894</v>
      </c>
      <c r="E63" s="667" t="s">
        <v>895</v>
      </c>
      <c r="F63" s="721" t="s">
        <v>308</v>
      </c>
      <c r="G63" s="382"/>
      <c r="H63" s="1023"/>
      <c r="I63" s="382"/>
      <c r="J63" s="1023"/>
      <c r="K63" s="1164"/>
      <c r="L63" s="1023"/>
      <c r="M63" s="289" t="s">
        <v>634</v>
      </c>
      <c r="Z63" s="758">
        <v>0</v>
      </c>
    </row>
    <row s="1635" customFormat="1" customHeight="1" ht="11.549999999999999">
      <c r="A64" s="1033"/>
      <c r="B64" s="518"/>
      <c r="D64" s="1034"/>
      <c r="E64" s="1035"/>
      <c r="K64" s="1635"/>
      <c r="L64" s="1635"/>
      <c r="Z64" s="509">
        <v>11</v>
      </c>
    </row>
    <row s="1635" customFormat="1" customHeight="1" ht="22.5" hidden="1">
      <c r="A65" s="2392" t="s">
        <v>896</v>
      </c>
      <c r="B65" s="511"/>
      <c r="D65" s="665">
        <v>1</v>
      </c>
      <c r="E65" s="744" t="s">
        <v>897</v>
      </c>
      <c r="F65" s="740" t="s">
        <v>812</v>
      </c>
      <c r="G65" s="741"/>
      <c r="H65" s="1029"/>
      <c r="I65" s="741"/>
      <c r="J65" s="1029"/>
      <c r="K65" s="741"/>
      <c r="L65" s="1029"/>
      <c r="M65" s="301" t="s">
        <v>898</v>
      </c>
      <c r="Z65" s="758">
        <v>0</v>
      </c>
    </row>
    <row s="1635" customFormat="1" customHeight="1" ht="56.25" hidden="1">
      <c r="A66" s="2392"/>
      <c r="B66" s="511"/>
      <c r="D66" s="743" t="s">
        <v>110</v>
      </c>
      <c r="E66" s="707" t="s">
        <v>899</v>
      </c>
      <c r="F66" s="660" t="s">
        <v>548</v>
      </c>
      <c r="G66" s="660" t="s">
        <v>548</v>
      </c>
      <c r="H66" s="519"/>
      <c r="I66" s="660" t="s">
        <v>548</v>
      </c>
      <c r="J66" s="519"/>
      <c r="K66" s="2104" t="s">
        <v>548</v>
      </c>
      <c r="L66" s="519"/>
      <c r="M66" s="289"/>
      <c r="Z66" s="758">
        <v>0</v>
      </c>
    </row>
    <row s="1635" customFormat="1" customHeight="1" ht="33.75" hidden="1">
      <c r="A67" s="2392"/>
      <c r="B67" s="511"/>
      <c r="D67" s="743" t="s">
        <v>711</v>
      </c>
      <c r="E67" s="954" t="s">
        <v>900</v>
      </c>
      <c r="F67" s="660" t="s">
        <v>864</v>
      </c>
      <c r="G67" s="727"/>
      <c r="H67" s="519"/>
      <c r="I67" s="727"/>
      <c r="J67" s="519"/>
      <c r="K67" s="727"/>
      <c r="L67" s="519"/>
      <c r="M67" s="289"/>
      <c r="Z67" s="758">
        <v>0</v>
      </c>
    </row>
    <row s="1635" customFormat="1" customHeight="1" ht="22.5" hidden="1">
      <c r="A68" s="2392"/>
      <c r="B68" s="511"/>
      <c r="D68" s="743" t="s">
        <v>309</v>
      </c>
      <c r="E68" s="954" t="s">
        <v>901</v>
      </c>
      <c r="F68" s="660" t="s">
        <v>864</v>
      </c>
      <c r="G68" s="727"/>
      <c r="H68" s="519"/>
      <c r="I68" s="727"/>
      <c r="J68" s="519"/>
      <c r="K68" s="727"/>
      <c r="L68" s="519"/>
      <c r="M68" s="289"/>
      <c r="Z68" s="758">
        <v>0</v>
      </c>
    </row>
    <row s="1635" customFormat="1" customHeight="1" ht="22.5" hidden="1">
      <c r="A69" s="2392"/>
      <c r="B69" s="511"/>
      <c r="D69" s="743" t="s">
        <v>312</v>
      </c>
      <c r="E69" s="954" t="s">
        <v>902</v>
      </c>
      <c r="F69" s="721" t="s">
        <v>560</v>
      </c>
      <c r="G69" s="742"/>
      <c r="H69" s="519"/>
      <c r="I69" s="742"/>
      <c r="J69" s="519"/>
      <c r="K69" s="742"/>
      <c r="L69" s="519"/>
      <c r="M69" s="289"/>
      <c r="Z69" s="758">
        <v>0</v>
      </c>
    </row>
    <row s="1635" customFormat="1" customHeight="1" ht="22.5" hidden="1">
      <c r="A70" s="2392"/>
      <c r="B70" s="511"/>
      <c r="D70" s="743" t="s">
        <v>731</v>
      </c>
      <c r="E70" s="954" t="s">
        <v>903</v>
      </c>
      <c r="F70" s="721" t="s">
        <v>560</v>
      </c>
      <c r="G70" s="742"/>
      <c r="H70" s="519"/>
      <c r="I70" s="742"/>
      <c r="J70" s="519"/>
      <c r="K70" s="742"/>
      <c r="L70" s="519"/>
      <c r="M70" s="289"/>
      <c r="Z70" s="758">
        <v>0</v>
      </c>
    </row>
    <row s="1635" customFormat="1" customHeight="1" ht="22.5" hidden="1">
      <c r="A71" s="2392"/>
      <c r="B71" s="511"/>
      <c r="D71" s="665" t="s">
        <v>90</v>
      </c>
      <c r="E71" s="666" t="s">
        <v>904</v>
      </c>
      <c r="F71" s="660" t="s">
        <v>864</v>
      </c>
      <c r="G71" s="557"/>
      <c r="H71" s="1030"/>
      <c r="I71" s="557"/>
      <c r="J71" s="1030"/>
      <c r="K71" s="557"/>
      <c r="L71" s="1030"/>
      <c r="M71" s="302"/>
      <c r="Z71" s="758">
        <v>0</v>
      </c>
    </row>
    <row s="1635" customFormat="1" customHeight="1" ht="56.25" hidden="1">
      <c r="A72" s="2392"/>
      <c r="B72" s="511"/>
      <c r="D72" s="665" t="s">
        <v>91</v>
      </c>
      <c r="E72" s="666" t="s">
        <v>905</v>
      </c>
      <c r="F72" s="721" t="s">
        <v>560</v>
      </c>
      <c r="G72" s="742"/>
      <c r="H72" s="1023"/>
      <c r="I72" s="742"/>
      <c r="J72" s="1023"/>
      <c r="K72" s="742"/>
      <c r="L72" s="1023"/>
      <c r="M72" s="302"/>
      <c r="Z72" s="758">
        <v>0</v>
      </c>
    </row>
    <row s="1635" customFormat="1" customHeight="1" ht="33.75" hidden="1">
      <c r="A73" s="2392"/>
      <c r="B73" s="511"/>
      <c r="D73" s="665" t="s">
        <v>111</v>
      </c>
      <c r="E73" s="666" t="s">
        <v>906</v>
      </c>
      <c r="F73" s="726" t="s">
        <v>822</v>
      </c>
      <c r="G73" s="668"/>
      <c r="H73" s="1023"/>
      <c r="I73" s="668"/>
      <c r="J73" s="1023"/>
      <c r="K73" s="1169"/>
      <c r="L73" s="1023"/>
      <c r="M73" s="289"/>
      <c r="Z73" s="758">
        <v>0</v>
      </c>
    </row>
    <row s="1635" customFormat="1" customHeight="1" ht="22.5" hidden="1">
      <c r="A74" s="2392"/>
      <c r="B74" s="511" t="s">
        <v>590</v>
      </c>
      <c r="D74" s="665" t="s">
        <v>92</v>
      </c>
      <c r="E74" s="666" t="s">
        <v>907</v>
      </c>
      <c r="F74" s="726" t="s">
        <v>308</v>
      </c>
      <c r="G74" s="382"/>
      <c r="H74" s="1023"/>
      <c r="I74" s="382"/>
      <c r="J74" s="1023"/>
      <c r="K74" s="1164"/>
      <c r="L74" s="1023"/>
      <c r="M74" s="289" t="s">
        <v>634</v>
      </c>
      <c r="Z74" s="758">
        <v>0</v>
      </c>
    </row>
    <row s="1635" customFormat="1" customHeight="1" ht="45" hidden="1">
      <c r="A75" s="2392"/>
      <c r="B75" s="511" t="s">
        <v>590</v>
      </c>
      <c r="D75" s="665" t="s">
        <v>655</v>
      </c>
      <c r="E75" s="667" t="s">
        <v>908</v>
      </c>
      <c r="F75" s="721" t="s">
        <v>308</v>
      </c>
      <c r="G75" s="382"/>
      <c r="H75" s="1023"/>
      <c r="I75" s="382"/>
      <c r="J75" s="1023"/>
      <c r="K75" s="1164"/>
      <c r="L75" s="1023"/>
      <c r="M75" s="289" t="s">
        <v>634</v>
      </c>
      <c r="Z75" s="758">
        <v>0</v>
      </c>
    </row>
    <row s="1635" customFormat="1" customHeight="1" ht="11.549999999999999">
      <c r="A76" s="1033"/>
      <c r="B76" s="518"/>
      <c r="D76" s="1034"/>
      <c r="E76" s="1035"/>
      <c r="K76" s="1635"/>
      <c r="L76" s="1635"/>
      <c r="Z76" s="509">
        <v>11</v>
      </c>
    </row>
    <row s="1635" customFormat="1" customHeight="1" ht="11.25" hidden="1">
      <c r="A77" s="2392" t="s">
        <v>909</v>
      </c>
      <c r="B77" s="511"/>
      <c r="D77" s="665">
        <v>1</v>
      </c>
      <c r="E77" s="666" t="s">
        <v>910</v>
      </c>
      <c r="F77" s="721" t="s">
        <v>812</v>
      </c>
      <c r="G77" s="724"/>
      <c r="H77" s="1023"/>
      <c r="I77" s="724"/>
      <c r="J77" s="1023"/>
      <c r="K77" s="724"/>
      <c r="L77" s="1023"/>
      <c r="M77" s="289" t="s">
        <v>911</v>
      </c>
      <c r="Z77" s="758">
        <v>0</v>
      </c>
    </row>
    <row s="1635" customFormat="1" customHeight="1" ht="11.25" hidden="1">
      <c r="A78" s="2392"/>
      <c r="B78" s="511"/>
      <c r="D78" s="665" t="s">
        <v>110</v>
      </c>
      <c r="E78" s="666" t="s">
        <v>912</v>
      </c>
      <c r="F78" s="721" t="s">
        <v>812</v>
      </c>
      <c r="G78" s="724"/>
      <c r="H78" s="1023"/>
      <c r="I78" s="724"/>
      <c r="J78" s="1023"/>
      <c r="K78" s="724"/>
      <c r="L78" s="1023"/>
      <c r="M78" s="289" t="s">
        <v>913</v>
      </c>
      <c r="Z78" s="758">
        <v>0</v>
      </c>
    </row>
    <row s="1635" customFormat="1" customHeight="1" ht="22.5" hidden="1">
      <c r="A79" s="2392"/>
      <c r="B79" s="511"/>
      <c r="D79" s="665" t="s">
        <v>90</v>
      </c>
      <c r="E79" s="722" t="s">
        <v>914</v>
      </c>
      <c r="F79" s="660" t="s">
        <v>861</v>
      </c>
      <c r="G79" s="724"/>
      <c r="H79" s="1023"/>
      <c r="I79" s="724"/>
      <c r="J79" s="1023"/>
      <c r="K79" s="724"/>
      <c r="L79" s="1023"/>
      <c r="M79" s="289" t="s">
        <v>915</v>
      </c>
      <c r="Z79" s="758">
        <v>0</v>
      </c>
    </row>
    <row s="1635" customFormat="1" customHeight="1" ht="11.25" hidden="1">
      <c r="A80" s="2392"/>
      <c r="B80" s="511"/>
      <c r="D80" s="665" t="s">
        <v>326</v>
      </c>
      <c r="E80" s="723" t="s">
        <v>916</v>
      </c>
      <c r="F80" s="660" t="s">
        <v>861</v>
      </c>
      <c r="G80" s="724"/>
      <c r="H80" s="1023"/>
      <c r="I80" s="724"/>
      <c r="J80" s="1023"/>
      <c r="K80" s="724"/>
      <c r="L80" s="1023"/>
      <c r="M80" s="289"/>
      <c r="Z80" s="758">
        <v>0</v>
      </c>
    </row>
    <row s="1635" customFormat="1" customHeight="1" ht="11.25" hidden="1">
      <c r="A81" s="2392"/>
      <c r="B81" s="511"/>
      <c r="D81" s="665" t="s">
        <v>334</v>
      </c>
      <c r="E81" s="723" t="s">
        <v>917</v>
      </c>
      <c r="F81" s="660" t="s">
        <v>861</v>
      </c>
      <c r="G81" s="724"/>
      <c r="H81" s="1023"/>
      <c r="I81" s="724"/>
      <c r="J81" s="1023"/>
      <c r="K81" s="724"/>
      <c r="L81" s="1023"/>
      <c r="M81" s="289"/>
      <c r="Z81" s="758">
        <v>0</v>
      </c>
    </row>
    <row s="1635" customFormat="1" customHeight="1" ht="11.25" hidden="1">
      <c r="A82" s="2392"/>
      <c r="B82" s="511"/>
      <c r="D82" s="665" t="s">
        <v>336</v>
      </c>
      <c r="E82" s="723" t="s">
        <v>918</v>
      </c>
      <c r="F82" s="660" t="s">
        <v>861</v>
      </c>
      <c r="G82" s="724"/>
      <c r="H82" s="1023"/>
      <c r="I82" s="724"/>
      <c r="J82" s="1023"/>
      <c r="K82" s="724"/>
      <c r="L82" s="1023"/>
      <c r="M82" s="289"/>
      <c r="Z82" s="758">
        <v>0</v>
      </c>
    </row>
    <row s="1635" customFormat="1" customHeight="1" ht="11.25" hidden="1">
      <c r="A83" s="2392"/>
      <c r="B83" s="511"/>
      <c r="D83" s="665" t="s">
        <v>338</v>
      </c>
      <c r="E83" s="723" t="s">
        <v>919</v>
      </c>
      <c r="F83" s="660" t="s">
        <v>861</v>
      </c>
      <c r="G83" s="724"/>
      <c r="H83" s="1023"/>
      <c r="I83" s="724"/>
      <c r="J83" s="1023"/>
      <c r="K83" s="724"/>
      <c r="L83" s="1023"/>
      <c r="M83" s="289"/>
      <c r="Z83" s="758">
        <v>0</v>
      </c>
    </row>
    <row s="1635" customFormat="1" customHeight="1" ht="11.25" hidden="1">
      <c r="A84" s="2392"/>
      <c r="B84" s="511"/>
      <c r="D84" s="665" t="s">
        <v>920</v>
      </c>
      <c r="E84" s="723" t="s">
        <v>921</v>
      </c>
      <c r="F84" s="660" t="s">
        <v>861</v>
      </c>
      <c r="G84" s="724"/>
      <c r="H84" s="1023"/>
      <c r="I84" s="724"/>
      <c r="J84" s="1023"/>
      <c r="K84" s="724"/>
      <c r="L84" s="1023"/>
      <c r="M84" s="289"/>
      <c r="Z84" s="758">
        <v>0</v>
      </c>
    </row>
    <row s="1635" customFormat="1" customHeight="1" ht="11.25" hidden="1">
      <c r="A85" s="2392"/>
      <c r="B85" s="511"/>
      <c r="D85" s="665" t="s">
        <v>922</v>
      </c>
      <c r="E85" s="723" t="s">
        <v>923</v>
      </c>
      <c r="F85" s="660" t="s">
        <v>861</v>
      </c>
      <c r="G85" s="724"/>
      <c r="H85" s="1023"/>
      <c r="I85" s="724"/>
      <c r="J85" s="1023"/>
      <c r="K85" s="724"/>
      <c r="L85" s="1023"/>
      <c r="M85" s="289"/>
      <c r="Z85" s="758">
        <v>0</v>
      </c>
    </row>
    <row s="1635" customFormat="1" customHeight="1" ht="11.25" hidden="1">
      <c r="A86" s="2392"/>
      <c r="B86" s="511"/>
      <c r="D86" s="665" t="s">
        <v>924</v>
      </c>
      <c r="E86" s="723" t="s">
        <v>925</v>
      </c>
      <c r="F86" s="660" t="s">
        <v>861</v>
      </c>
      <c r="G86" s="724"/>
      <c r="H86" s="1023"/>
      <c r="I86" s="724"/>
      <c r="J86" s="1023"/>
      <c r="K86" s="724"/>
      <c r="L86" s="1023"/>
      <c r="M86" s="289"/>
      <c r="Z86" s="758">
        <v>0</v>
      </c>
    </row>
    <row s="1635" customFormat="1" customHeight="1" ht="45" hidden="1">
      <c r="A87" s="2392"/>
      <c r="B87" s="511"/>
      <c r="D87" s="665" t="s">
        <v>91</v>
      </c>
      <c r="E87" s="666" t="s">
        <v>926</v>
      </c>
      <c r="F87" s="660" t="s">
        <v>861</v>
      </c>
      <c r="G87" s="724"/>
      <c r="H87" s="1023"/>
      <c r="I87" s="724"/>
      <c r="J87" s="1023"/>
      <c r="K87" s="724"/>
      <c r="L87" s="1023"/>
      <c r="M87" s="289" t="s">
        <v>927</v>
      </c>
      <c r="Z87" s="758">
        <v>0</v>
      </c>
    </row>
    <row s="1635" customFormat="1" customHeight="1" ht="11.25" hidden="1">
      <c r="A88" s="2392"/>
      <c r="B88" s="511"/>
      <c r="D88" s="665" t="s">
        <v>756</v>
      </c>
      <c r="E88" s="723" t="s">
        <v>916</v>
      </c>
      <c r="F88" s="660" t="s">
        <v>861</v>
      </c>
      <c r="G88" s="724"/>
      <c r="H88" s="1023"/>
      <c r="I88" s="724"/>
      <c r="J88" s="1023"/>
      <c r="K88" s="724"/>
      <c r="L88" s="1023"/>
      <c r="M88" s="289"/>
      <c r="Z88" s="758">
        <v>0</v>
      </c>
    </row>
    <row s="1635" customFormat="1" customHeight="1" ht="11.25" hidden="1">
      <c r="A89" s="2392"/>
      <c r="B89" s="511"/>
      <c r="D89" s="665" t="s">
        <v>798</v>
      </c>
      <c r="E89" s="723" t="s">
        <v>917</v>
      </c>
      <c r="F89" s="660" t="s">
        <v>861</v>
      </c>
      <c r="G89" s="724"/>
      <c r="H89" s="1023"/>
      <c r="I89" s="724"/>
      <c r="J89" s="1023"/>
      <c r="K89" s="724"/>
      <c r="L89" s="1023"/>
      <c r="M89" s="289"/>
      <c r="Z89" s="758">
        <v>0</v>
      </c>
    </row>
    <row s="1635" customFormat="1" customHeight="1" ht="11.25" hidden="1">
      <c r="A90" s="2392"/>
      <c r="B90" s="511"/>
      <c r="D90" s="665" t="s">
        <v>801</v>
      </c>
      <c r="E90" s="723" t="s">
        <v>918</v>
      </c>
      <c r="F90" s="660" t="s">
        <v>861</v>
      </c>
      <c r="G90" s="724"/>
      <c r="H90" s="1023"/>
      <c r="I90" s="724"/>
      <c r="J90" s="1023"/>
      <c r="K90" s="724"/>
      <c r="L90" s="1023"/>
      <c r="M90" s="289"/>
      <c r="Z90" s="758">
        <v>0</v>
      </c>
    </row>
    <row s="1635" customFormat="1" customHeight="1" ht="11.25" hidden="1">
      <c r="A91" s="2392"/>
      <c r="B91" s="511"/>
      <c r="D91" s="665" t="s">
        <v>879</v>
      </c>
      <c r="E91" s="723" t="s">
        <v>919</v>
      </c>
      <c r="F91" s="660" t="s">
        <v>861</v>
      </c>
      <c r="G91" s="724"/>
      <c r="H91" s="1023"/>
      <c r="I91" s="724"/>
      <c r="J91" s="1023"/>
      <c r="K91" s="724"/>
      <c r="L91" s="1023"/>
      <c r="M91" s="289"/>
      <c r="Z91" s="758">
        <v>0</v>
      </c>
    </row>
    <row s="1635" customFormat="1" customHeight="1" ht="11.25" hidden="1">
      <c r="A92" s="2392"/>
      <c r="B92" s="511"/>
      <c r="D92" s="665" t="s">
        <v>881</v>
      </c>
      <c r="E92" s="723" t="s">
        <v>921</v>
      </c>
      <c r="F92" s="660" t="s">
        <v>861</v>
      </c>
      <c r="G92" s="724"/>
      <c r="H92" s="1023"/>
      <c r="I92" s="724"/>
      <c r="J92" s="1023"/>
      <c r="K92" s="724"/>
      <c r="L92" s="1023"/>
      <c r="M92" s="289"/>
      <c r="Z92" s="758">
        <v>0</v>
      </c>
    </row>
    <row s="1635" customFormat="1" customHeight="1" ht="11.25" hidden="1">
      <c r="A93" s="2392"/>
      <c r="B93" s="511"/>
      <c r="D93" s="665" t="s">
        <v>928</v>
      </c>
      <c r="E93" s="723" t="s">
        <v>923</v>
      </c>
      <c r="F93" s="660" t="s">
        <v>861</v>
      </c>
      <c r="G93" s="724"/>
      <c r="H93" s="1023"/>
      <c r="I93" s="724"/>
      <c r="J93" s="1023"/>
      <c r="K93" s="724"/>
      <c r="L93" s="1023"/>
      <c r="M93" s="289"/>
      <c r="Z93" s="758">
        <v>0</v>
      </c>
    </row>
    <row s="1635" customFormat="1" customHeight="1" ht="11.25" hidden="1">
      <c r="A94" s="2392"/>
      <c r="B94" s="511"/>
      <c r="D94" s="665" t="s">
        <v>929</v>
      </c>
      <c r="E94" s="723" t="s">
        <v>925</v>
      </c>
      <c r="F94" s="660" t="s">
        <v>861</v>
      </c>
      <c r="G94" s="724"/>
      <c r="H94" s="1023"/>
      <c r="I94" s="724"/>
      <c r="J94" s="1023"/>
      <c r="K94" s="724"/>
      <c r="L94" s="1023"/>
      <c r="M94" s="289"/>
      <c r="Z94" s="758">
        <v>0</v>
      </c>
    </row>
    <row s="1635" customFormat="1" customHeight="1" ht="24.75" hidden="1">
      <c r="A95" s="2392"/>
      <c r="B95" s="511"/>
      <c r="D95" s="665" t="s">
        <v>111</v>
      </c>
      <c r="E95" s="666" t="s">
        <v>930</v>
      </c>
      <c r="F95" s="725" t="s">
        <v>560</v>
      </c>
      <c r="G95" s="727"/>
      <c r="H95" s="1023"/>
      <c r="I95" s="727"/>
      <c r="J95" s="1023"/>
      <c r="K95" s="727"/>
      <c r="L95" s="1023"/>
      <c r="M95" s="289" t="s">
        <v>931</v>
      </c>
      <c r="Z95" s="758">
        <v>0</v>
      </c>
    </row>
    <row s="1635" customFormat="1" customHeight="1" ht="33.75" hidden="1">
      <c r="A96" s="2392"/>
      <c r="B96" s="511"/>
      <c r="D96" s="665" t="s">
        <v>92</v>
      </c>
      <c r="E96" s="666" t="s">
        <v>932</v>
      </c>
      <c r="F96" s="726" t="s">
        <v>822</v>
      </c>
      <c r="G96" s="728"/>
      <c r="H96" s="1023"/>
      <c r="I96" s="728"/>
      <c r="J96" s="1023"/>
      <c r="K96" s="728"/>
      <c r="L96" s="1023"/>
      <c r="M96" s="289"/>
      <c r="Z96" s="758">
        <v>0</v>
      </c>
    </row>
    <row s="1635" customFormat="1" customHeight="1" ht="22.5" hidden="1">
      <c r="A97" s="2392"/>
      <c r="B97" s="511" t="s">
        <v>590</v>
      </c>
      <c r="D97" s="665" t="s">
        <v>93</v>
      </c>
      <c r="E97" s="666" t="s">
        <v>933</v>
      </c>
      <c r="F97" s="726" t="s">
        <v>308</v>
      </c>
      <c r="G97" s="385"/>
      <c r="H97" s="1023"/>
      <c r="I97" s="385"/>
      <c r="J97" s="1023"/>
      <c r="K97" s="385"/>
      <c r="L97" s="1023"/>
      <c r="M97" s="289" t="s">
        <v>634</v>
      </c>
      <c r="Z97" s="758">
        <v>0</v>
      </c>
    </row>
    <row s="1635" customFormat="1" customHeight="1" ht="45" hidden="1">
      <c r="A98" s="2392"/>
      <c r="B98" s="511" t="s">
        <v>590</v>
      </c>
      <c r="D98" s="665" t="s">
        <v>934</v>
      </c>
      <c r="E98" s="667" t="s">
        <v>935</v>
      </c>
      <c r="F98" s="721" t="s">
        <v>308</v>
      </c>
      <c r="G98" s="385"/>
      <c r="H98" s="1023"/>
      <c r="I98" s="385"/>
      <c r="J98" s="1023"/>
      <c r="K98" s="385"/>
      <c r="L98" s="1023"/>
      <c r="M98" s="289" t="s">
        <v>634</v>
      </c>
      <c r="Z98" s="758">
        <v>0</v>
      </c>
    </row>
    <row s="1635" customFormat="1" customHeight="1" ht="95.25" hidden="1">
      <c r="A99" s="2392"/>
      <c r="B99" s="511" t="s">
        <v>590</v>
      </c>
      <c r="D99" s="665" t="s">
        <v>112</v>
      </c>
      <c r="E99" s="666" t="s">
        <v>936</v>
      </c>
      <c r="F99" s="721" t="s">
        <v>308</v>
      </c>
      <c r="G99" s="385"/>
      <c r="H99" s="1023"/>
      <c r="I99" s="385"/>
      <c r="J99" s="1023"/>
      <c r="K99" s="385"/>
      <c r="L99" s="1023"/>
      <c r="M99" s="289" t="s">
        <v>634</v>
      </c>
      <c r="Z99" s="758">
        <v>0</v>
      </c>
    </row>
    <row s="1635" customFormat="1" customHeight="1" ht="22.5" hidden="1">
      <c r="A100" s="2392"/>
      <c r="B100" s="511" t="s">
        <v>590</v>
      </c>
      <c r="D100" s="665" t="s">
        <v>152</v>
      </c>
      <c r="E100" s="666" t="s">
        <v>937</v>
      </c>
      <c r="F100" s="721" t="s">
        <v>308</v>
      </c>
      <c r="G100" s="385"/>
      <c r="H100" s="1023"/>
      <c r="I100" s="385"/>
      <c r="J100" s="1023"/>
      <c r="K100" s="385"/>
      <c r="L100" s="1023"/>
      <c r="M100" s="289" t="s">
        <v>634</v>
      </c>
      <c r="Z100" s="758">
        <v>0</v>
      </c>
    </row>
    <row s="1635" customFormat="1" customHeight="1" ht="11.549999999999999">
      <c r="A101" s="1033"/>
      <c r="B101" s="518"/>
      <c r="D101" s="1034"/>
      <c r="E101" s="1035"/>
      <c r="K101" s="1635"/>
      <c r="L101" s="1635"/>
      <c r="Z101" s="509">
        <v>11</v>
      </c>
    </row>
    <row customHeight="1" ht="22.5" hidden="1">
      <c r="A102" s="536" t="s">
        <v>82</v>
      </c>
      <c r="B102" s="511">
        <v>0</v>
      </c>
      <c r="C102" s="505">
        <v>3</v>
      </c>
      <c r="D102" s="505">
        <v>7</v>
      </c>
      <c r="E102" s="505">
        <v>69</v>
      </c>
      <c r="F102" s="505">
        <v>10</v>
      </c>
      <c r="G102" s="505">
        <v>0</v>
      </c>
      <c r="H102" s="505">
        <v>0</v>
      </c>
      <c r="I102" s="758">
        <v>43</v>
      </c>
      <c r="J102" s="758">
        <v>43</v>
      </c>
      <c r="K102" s="1635">
        <v>0</v>
      </c>
      <c r="L102" s="1635">
        <v>0</v>
      </c>
      <c r="M102" s="505">
        <v>73</v>
      </c>
      <c r="N102" s="505">
        <v>3</v>
      </c>
      <c r="O102" s="505">
        <v>10</v>
      </c>
      <c r="P102" s="505">
        <v>10</v>
      </c>
      <c r="Q102" s="505">
        <v>10</v>
      </c>
      <c r="R102" s="505">
        <v>10</v>
      </c>
      <c r="S102" s="505">
        <v>10</v>
      </c>
      <c r="T102" s="505">
        <v>10</v>
      </c>
      <c r="U102" s="505">
        <v>10</v>
      </c>
      <c r="V102" s="505">
        <v>10</v>
      </c>
      <c r="W102" s="505">
        <v>10</v>
      </c>
      <c r="X102" s="505">
        <v>10</v>
      </c>
      <c r="Y102" s="505">
        <v>10</v>
      </c>
      <c r="Z102" s="505">
        <v>23</v>
      </c>
    </row>
  </sheetData>
  <sheetProtection formatColumns="0" formatRows="0" autoFilter="0" sort="0" insertRows="0" insertColumns="1" deleteRows="0" deleteColumns="0"/>
  <mergeCells count="21">
    <mergeCell ref="D3:F3"/>
    <mergeCell ref="M7:M11"/>
    <mergeCell ref="G7:H7"/>
    <mergeCell ref="E7:F7"/>
    <mergeCell ref="E8:F8"/>
    <mergeCell ref="E9:F9"/>
    <mergeCell ref="G8:H8"/>
    <mergeCell ref="G9:H9"/>
    <mergeCell ref="D4:F4"/>
    <mergeCell ref="I7:J7"/>
    <mergeCell ref="I8:J8"/>
    <mergeCell ref="I9:J9"/>
    <mergeCell ref="D10:J10"/>
    <mergeCell ref="A37:A63"/>
    <mergeCell ref="A65:A75"/>
    <mergeCell ref="A77:A100"/>
    <mergeCell ref="A13:A35"/>
    <mergeCell ref="A11:B11"/>
    <mergeCell ref="K7:L7"/>
    <mergeCell ref="K8:L8"/>
    <mergeCell ref="K9:L9"/>
  </mergeCells>
  <dataValidations count="6">
    <dataValidation type="list" allowBlank="1" showInputMessage="1" errorTitle="Ошибка" error="Укажите значение вручную или выберите из списка!" prompt="Укажите значение вручную или выберите из списка" sqref="G19 I19 K19">
      <formula1>"Не утверждены"</formula1>
    </dataValidation>
    <dataValidation type="decimal" allowBlank="1" showErrorMessage="1" errorTitle="Ошибка" error="Введите значение от 0 до 100%" sqref="G31 G95 G60 G72 G42:G43 G69:G70 I31 I95 I60 I72 I42:I43 I69:I70 K31 K42 K43 K60 K69 K70 K72 K95">
      <formula1>0</formula1>
      <formula2>100</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31:H32 J31:J32 L31:L32 G62:G63 G74:G75 G97:G100 I62:I63 I74:I75 I97:I100 H13:H14 H19 J19 L19 J13:J14 L13:L14 K62 K63 K74 K75 K97 K98 K99 K100">
      <formula1>900</formula1>
    </dataValidation>
    <dataValidation type="decimal" allowBlank="1" showErrorMessage="1" errorTitle="Ошибка" error="Допускается ввод только неотрицательных чисел!" sqref="G32 G67:G68 G39:G40 G37 G44:G59 G61 G77:G94 G73 G71 G96 G65 G18 G13:G14 G29:G30 G26:G27 I32 I67:I68 I39:I40 I37 I44:I59 I61 I77:I94 I73 I71 I96 I65 I18 I13:I14 I29:I30 I26:I27 I21:I22 G24 G21:G22 I24 K13 K14 K18 K21 K22 K24 K26 K27 K29 K30 K32 K37 K39 K40 K44 K45 K46 K47 K48 K49 K50 K51 K52 K53 K54 K55 K56 K57 K58 K59 K61 K65 K67 K68 K71 K73 K77 K78 K79 K80 K81 K82 K83 K84 K85 K86 K87 K88 K89 K90 K91 K92 K93 K94 K96">
      <formula1>0</formula1>
      <formula2>9.99999999999999E+23</formula2>
    </dataValidation>
    <dataValidation type="whole" allowBlank="1" showErrorMessage="1" errorTitle="Ошибка" error="Допускается ввод только неотрицательных целых чисел!" sqref="G16:G17 I16:I17 K16 K17">
      <formula1>0</formula1>
      <formula2>9.99999999999999E+23</formula2>
    </dataValidation>
    <dataValidation type="textLength" operator="lessThanOrEqual" allowBlank="1" showInputMessage="1" showErrorMessage="1" errorTitle="Ошибка" error="Допускается ввод не более 900 символов!" sqref="H21:H22 H29:H30 H24 H26:H27 H15:H18 J26:J27 L26:L27 J15:J18 L15:L18 J21:J22 L21:L22 J29:J30 L29:L30 J24 L24">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36B0AAE-44B9-C2FA-7391-ACB15C6F5282}" mc:Ignorable="x14ac xr xr2 xr3">
  <sheetPr>
    <tabColor rgb="FFCCCCFF"/>
  </sheetPr>
  <dimension ref="A1:AM20"/>
  <sheetViews>
    <sheetView showGridLines="0" zoomScale="90" workbookViewId="0">
      <pane xSplit="4" ySplit="12" topLeftCell="E13" activePane="bottomRight" state="frozen"/>
      <selection pane="bottomLeft" activeCell="A13" sqref="A13"/>
      <selection pane="topRight" activeCell="E1" sqref="E1"/>
      <selection pane="bottomRight" activeCell="E16" sqref="E16:E18"/>
    </sheetView>
  </sheetViews>
  <sheetFormatPr defaultColWidth="9.140625" customHeight="1" defaultRowHeight="11.25"/>
  <cols>
    <col min="1" max="1" style="1853" width="6.421875" hidden="1" customWidth="1"/>
    <col min="2" max="2" style="1853" width="2.00390625" hidden="1" customWidth="1"/>
    <col min="3" max="3" style="1853" width="3.00390625" customWidth="1"/>
    <col min="4" max="4" style="1853" width="4.00390625" customWidth="1"/>
    <col min="5" max="5" style="1853" width="44.00390625" customWidth="1"/>
    <col min="6" max="6" style="1853" width="6.421875" customWidth="1"/>
    <col min="7" max="7" style="1853" width="4.00390625" customWidth="1"/>
    <col min="8" max="8" style="1853" width="5.00390625" customWidth="1"/>
    <col min="9" max="9" style="1853" width="52.00390625" customWidth="1"/>
    <col min="10" max="10" style="1853" width="7.00390625" customWidth="1"/>
    <col min="11" max="11" style="1853" width="3.00390625" customWidth="1"/>
    <col min="12" max="12" style="1853" width="6.00390625" customWidth="1"/>
    <col min="13" max="13" style="1853" width="56.00390625" customWidth="1"/>
    <col min="14" max="14" style="1370" width="8.00390625" customWidth="1"/>
    <col min="15" max="20" style="1624" width="9.140625" hidden="1"/>
    <col min="21" max="24" style="1266" width="9.140625" hidden="1"/>
    <col min="25" max="37" style="1370" width="9.140625" hidden="1"/>
    <col min="38" max="38" style="1370" width="8.00390625" customWidth="1"/>
    <col min="39" max="39" style="1853" width="9.140625" hidden="1"/>
  </cols>
  <sheetData>
    <row customHeight="1" ht="11.25" hidden="1">
      <c r="AM1" s="583" t="s">
        <v>14</v>
      </c>
    </row>
    <row customHeight="1" ht="11.25" hidden="1">
      <c r="AM2" s="583">
        <v>0</v>
      </c>
    </row>
    <row customHeight="1" ht="11.549999999999999">
      <c r="AM3" s="583">
        <v>11</v>
      </c>
    </row>
    <row customHeight="1" ht="35.699999999999996">
      <c r="A4" s="585"/>
      <c r="B4" s="585"/>
      <c r="D4" s="2119" t="str">
        <f>Титульный!E5</f>
        <v>Информация о наличии (отсутствии) технической возможности подключения к централизованной системе теплоснабжения, а также о регистрации и ходе реализации заявок о подключении к централизованной системе теплоснабжения</v>
      </c>
      <c r="E4" s="2120"/>
      <c r="F4" s="2120"/>
      <c r="G4" s="2120"/>
      <c r="H4" s="2120"/>
      <c r="I4" s="2121"/>
      <c r="J4" s="584"/>
      <c r="K4" s="584"/>
      <c r="L4" s="584"/>
      <c r="M4" s="584"/>
      <c r="AM4" s="583">
        <v>34</v>
      </c>
    </row>
    <row s="589" customFormat="1" customHeight="1" ht="14.699999999999998">
      <c r="A5" s="585"/>
      <c r="B5" s="585"/>
      <c r="C5" s="585"/>
      <c r="D5" s="2122" t="str">
        <f>IF(org=0,"Не определено",org)</f>
        <v>ПАО "ОГК-2"</v>
      </c>
      <c r="E5" s="2123"/>
      <c r="F5" s="2123"/>
      <c r="G5" s="2123"/>
      <c r="H5" s="2123"/>
      <c r="I5" s="2124"/>
      <c r="J5" s="586"/>
      <c r="K5" s="586"/>
      <c r="L5" s="586"/>
      <c r="M5" s="586"/>
      <c r="N5" s="586"/>
      <c r="O5" s="870"/>
      <c r="P5" s="870"/>
      <c r="Q5" s="870"/>
      <c r="R5" s="870"/>
      <c r="S5" s="870"/>
      <c r="T5" s="870"/>
      <c r="U5" s="1261"/>
      <c r="V5" s="1261"/>
      <c r="W5" s="1261"/>
      <c r="X5" s="1261"/>
      <c r="Y5" s="586"/>
      <c r="Z5" s="586"/>
      <c r="AA5" s="586"/>
      <c r="AB5" s="586"/>
      <c r="AC5" s="586"/>
      <c r="AD5" s="586"/>
      <c r="AE5" s="586"/>
      <c r="AF5" s="586"/>
      <c r="AG5" s="586"/>
      <c r="AH5" s="586"/>
      <c r="AI5" s="586"/>
      <c r="AJ5" s="586"/>
      <c r="AK5" s="586"/>
      <c r="AL5" s="586"/>
      <c r="AM5" s="587">
        <v>14</v>
      </c>
    </row>
    <row s="589" customFormat="1" customHeight="1" ht="6.3">
      <c r="A6" s="2125"/>
      <c r="B6" s="2125"/>
      <c r="C6" s="2125"/>
      <c r="D6" s="2125"/>
      <c r="E6" s="2125"/>
      <c r="F6" s="2125"/>
      <c r="G6" s="588"/>
      <c r="H6" s="588"/>
      <c r="I6" s="588"/>
      <c r="J6" s="588"/>
      <c r="K6" s="588"/>
      <c r="N6" s="590"/>
      <c r="O6" s="1414"/>
      <c r="P6" s="1414"/>
      <c r="Q6" s="1414"/>
      <c r="R6" s="1414"/>
      <c r="S6" s="1414"/>
      <c r="T6" s="1414"/>
      <c r="U6" s="1264"/>
      <c r="V6" s="1264"/>
      <c r="W6" s="1264"/>
      <c r="X6" s="1264"/>
      <c r="Y6" s="590"/>
      <c r="Z6" s="590"/>
      <c r="AA6" s="590"/>
      <c r="AB6" s="590"/>
      <c r="AC6" s="590"/>
      <c r="AD6" s="590"/>
      <c r="AE6" s="590"/>
      <c r="AF6" s="590"/>
      <c r="AG6" s="590"/>
      <c r="AH6" s="590"/>
      <c r="AI6" s="590"/>
      <c r="AJ6" s="590"/>
      <c r="AK6" s="590"/>
      <c r="AL6" s="590"/>
      <c r="AM6" s="589">
        <v>6</v>
      </c>
    </row>
    <row customHeight="1" ht="45.75" hidden="1">
      <c r="E7" s="2130" t="str">
        <f>"1. В случае дифференциации раскрываемой информации по системам "&amp;TEMPLATE_SPHERE_RUS&amp;" для каждой системы "&amp;TEMPLATE_SPHERE_RUS&amp;"должна быть указана территория, в которую входят только те муниципальные районы и муниципальные образования, на которой расположена данная система. На веб-портале РИ системы "&amp;TEMPLATE_SPHERE_RUS&amp;"будут отображены во всех МР/МО, входящих в указанную для них территорию.
2. Для каждого вида деятельности также необходимо указывать только те территории, на которых осуществляется данный вид деятельности."</f>
        <v>1. В случае дифференциации раскрываемой информации по системам теплоснабжения для каждой системы теплоснабжениядолжна быть указана территория, в которую входят только те муниципальные районы и муниципальные образования, на которой расположена данная система. На веб-портале РИ системы теплоснабжениябудут отображены во всех МР/МО, входящих в указанную для них территорию.
2. Для каждого вида деятельности также необходимо указывать только те территории, на которых осуществляется данный вид деятельности.</v>
      </c>
      <c r="F7" s="2131"/>
      <c r="G7" s="2131"/>
      <c r="H7" s="2131"/>
      <c r="I7" s="2131"/>
      <c r="J7" s="2131"/>
      <c r="K7" s="2131"/>
      <c r="L7" s="2131"/>
      <c r="M7" s="2131"/>
      <c r="AM7" s="583">
        <v>0</v>
      </c>
    </row>
    <row s="589" customFormat="1" customHeight="1" ht="6.3">
      <c r="A8" s="591"/>
      <c r="B8" s="591"/>
      <c r="C8" s="591"/>
      <c r="D8" s="591"/>
      <c r="E8" s="591"/>
      <c r="F8" s="591"/>
      <c r="G8" s="591"/>
      <c r="H8" s="591"/>
      <c r="I8" s="591"/>
      <c r="J8" s="591"/>
      <c r="K8" s="591"/>
      <c r="L8" s="591"/>
      <c r="M8" s="589"/>
      <c r="N8" s="586"/>
      <c r="O8" s="870"/>
      <c r="P8" s="870"/>
      <c r="Q8" s="870"/>
      <c r="R8" s="870"/>
      <c r="S8" s="870"/>
      <c r="T8" s="870"/>
      <c r="U8" s="1261"/>
      <c r="V8" s="1261"/>
      <c r="W8" s="1261"/>
      <c r="X8" s="1261"/>
      <c r="Y8" s="586"/>
      <c r="Z8" s="586"/>
      <c r="AA8" s="586"/>
      <c r="AB8" s="586"/>
      <c r="AC8" s="586"/>
      <c r="AD8" s="586"/>
      <c r="AE8" s="586"/>
      <c r="AF8" s="586"/>
      <c r="AG8" s="586"/>
      <c r="AH8" s="586"/>
      <c r="AI8" s="586"/>
      <c r="AJ8" s="586"/>
      <c r="AK8" s="586"/>
      <c r="AL8" s="586"/>
      <c r="AM8" s="587">
        <v>6</v>
      </c>
    </row>
    <row customHeight="1" ht="18.75">
      <c r="A9" s="2126"/>
      <c r="B9" s="323"/>
      <c r="C9" s="323"/>
      <c r="D9" s="2127" t="s">
        <v>105</v>
      </c>
      <c r="E9" s="2127"/>
      <c r="F9" s="2128" t="s">
        <v>106</v>
      </c>
      <c r="G9" s="2129"/>
      <c r="H9" s="2129"/>
      <c r="I9" s="2129"/>
      <c r="J9" s="2132" t="s">
        <v>107</v>
      </c>
      <c r="K9" s="2132"/>
      <c r="L9" s="2132"/>
      <c r="M9" s="2132"/>
      <c r="AM9" s="583">
        <v>18</v>
      </c>
    </row>
    <row customHeight="1" ht="24">
      <c r="A10" s="2126"/>
      <c r="B10" s="592"/>
      <c r="C10" s="525"/>
      <c r="D10" s="523" t="s">
        <v>88</v>
      </c>
      <c r="E10" s="523" t="s">
        <v>89</v>
      </c>
      <c r="F10" s="523" t="s">
        <v>108</v>
      </c>
      <c r="G10" s="2133" t="s">
        <v>88</v>
      </c>
      <c r="H10" s="2134"/>
      <c r="I10" s="523" t="s">
        <v>89</v>
      </c>
      <c r="J10" s="523" t="s">
        <v>108</v>
      </c>
      <c r="K10" s="2133" t="s">
        <v>88</v>
      </c>
      <c r="L10" s="2134"/>
      <c r="M10" s="523" t="s">
        <v>89</v>
      </c>
      <c r="N10" s="1627"/>
      <c r="AM10" s="583">
        <v>23</v>
      </c>
    </row>
    <row s="1853" customFormat="1" customHeight="1" ht="11.25" hidden="1">
      <c r="A11" s="593"/>
      <c r="B11" s="593"/>
      <c r="C11" s="593"/>
      <c r="D11" s="594" t="s">
        <v>109</v>
      </c>
      <c r="E11" s="594" t="s">
        <v>110</v>
      </c>
      <c r="F11" s="594" t="s">
        <v>90</v>
      </c>
      <c r="G11" s="2115" t="s">
        <v>91</v>
      </c>
      <c r="H11" s="2116"/>
      <c r="I11" s="594" t="s">
        <v>111</v>
      </c>
      <c r="J11" s="594" t="s">
        <v>92</v>
      </c>
      <c r="K11" s="2117" t="s">
        <v>93</v>
      </c>
      <c r="L11" s="2118"/>
      <c r="M11" s="594" t="s">
        <v>112</v>
      </c>
      <c r="N11" s="1626"/>
      <c r="O11" s="1413"/>
      <c r="P11" s="1415"/>
      <c r="Q11" s="1415"/>
      <c r="R11" s="1415"/>
      <c r="S11" s="1415"/>
      <c r="T11" s="1415"/>
      <c r="U11" s="1265"/>
      <c r="V11" s="1265"/>
      <c r="W11" s="1265"/>
      <c r="X11" s="1265"/>
      <c r="Y11" s="595"/>
      <c r="Z11" s="595"/>
      <c r="AA11" s="595"/>
      <c r="AB11" s="595"/>
      <c r="AC11" s="595"/>
      <c r="AD11" s="595"/>
      <c r="AE11" s="595"/>
      <c r="AF11" s="595"/>
      <c r="AG11" s="595"/>
      <c r="AH11" s="595"/>
      <c r="AI11" s="595"/>
      <c r="AJ11" s="595"/>
      <c r="AK11" s="595"/>
      <c r="AL11" s="595"/>
      <c r="AM11" s="596">
        <v>0</v>
      </c>
    </row>
    <row customHeight="1" ht="1.05">
      <c r="A12" s="597"/>
      <c r="B12" s="598"/>
      <c r="C12" s="598"/>
      <c r="D12" s="599"/>
      <c r="E12" s="367"/>
      <c r="F12" s="600"/>
      <c r="G12" s="1059"/>
      <c r="H12" s="1059"/>
      <c r="I12" s="600"/>
      <c r="J12" s="600"/>
      <c r="K12" s="174"/>
      <c r="L12" s="367"/>
      <c r="M12" s="601"/>
      <c r="N12" s="1627"/>
      <c r="O12" s="1413" t="s">
        <v>113</v>
      </c>
      <c r="P12" s="1413" t="s">
        <v>114</v>
      </c>
      <c r="Q12" s="1413" t="s">
        <v>115</v>
      </c>
      <c r="R12" s="1413" t="s">
        <v>116</v>
      </c>
      <c r="AM12" s="583">
        <v>1</v>
      </c>
    </row>
    <row s="1853" customFormat="1" customHeight="1" ht="15.75">
      <c r="A13" s="293"/>
      <c r="B13" s="293"/>
      <c r="C13" s="526"/>
      <c r="D13" s="2108" t="s">
        <v>109</v>
      </c>
      <c r="E13" s="2109" t="str">
        <f>INDEX(VD_NAME_LIST,MATCH("4190064",VD_ID_LIST,0))</f>
        <v>Производство тепловой энергии. Некомбинированная выработка</v>
      </c>
      <c r="F13" s="2112" t="s">
        <v>19</v>
      </c>
      <c r="G13" s="2113"/>
      <c r="H13" s="2114">
        <v>1</v>
      </c>
      <c r="I13" s="2629" t="s">
        <v>22</v>
      </c>
      <c r="J13" s="2107" t="s">
        <v>19</v>
      </c>
      <c r="K13" s="602"/>
      <c r="L13" s="527" t="s">
        <v>109</v>
      </c>
      <c r="M13" s="603" t="s">
        <v>22</v>
      </c>
      <c r="N13" s="812"/>
      <c r="O13" s="1416" t="s">
        <v>117</v>
      </c>
      <c r="P13" s="1413" t="str">
        <f>$E$13</f>
        <v>Производство тепловой энергии. Некомбинированная выработка</v>
      </c>
      <c r="Q13" s="1413" t="str">
        <f>IF($F$13="нет","без дифференциации",$I$13)</f>
        <v>без дифференциации</v>
      </c>
      <c r="R13" s="1413" t="str">
        <f>IF($J$13="нет","без дифференциации",M13)</f>
        <v>без дифференциации</v>
      </c>
      <c r="S13" s="1416"/>
      <c r="T13" s="1416"/>
      <c r="U13" s="1266"/>
      <c r="V13" s="1266" t="s">
        <v>118</v>
      </c>
      <c r="W13" s="1266"/>
      <c r="X13" s="1266"/>
      <c r="Y13" s="604" t="s">
        <v>119</v>
      </c>
      <c r="Z13" s="604">
        <v>1705000</v>
      </c>
      <c r="AA13" s="604"/>
      <c r="AB13" s="604"/>
      <c r="AC13" s="604"/>
      <c r="AD13" s="604"/>
      <c r="AE13" s="604"/>
      <c r="AF13" s="604"/>
      <c r="AG13" s="604"/>
      <c r="AH13" s="604"/>
      <c r="AI13" s="604"/>
      <c r="AJ13" s="604"/>
      <c r="AK13" s="604"/>
      <c r="AL13" s="604"/>
      <c r="AM13" s="606">
        <v>15</v>
      </c>
    </row>
    <row s="1853" customFormat="1" customHeight="1" ht="15.75">
      <c r="A14" s="293"/>
      <c r="B14" s="293"/>
      <c r="C14" s="176"/>
      <c r="D14" s="2108"/>
      <c r="E14" s="2110"/>
      <c r="F14" s="2107"/>
      <c r="G14" s="2113"/>
      <c r="H14" s="2114"/>
      <c r="I14" s="2630" t="s">
        <v>22</v>
      </c>
      <c r="J14" s="2107"/>
      <c r="K14" s="421"/>
      <c r="L14" s="177"/>
      <c r="M14" s="607" t="s">
        <v>120</v>
      </c>
      <c r="N14" s="812"/>
      <c r="O14" s="1416"/>
      <c r="P14" s="1413"/>
      <c r="Q14" s="1413"/>
      <c r="R14" s="1413"/>
      <c r="S14" s="1416"/>
      <c r="T14" s="1416"/>
      <c r="U14" s="1266"/>
      <c r="V14" s="1266"/>
      <c r="W14" s="1266"/>
      <c r="X14" s="1266"/>
      <c r="Y14" s="604"/>
      <c r="Z14" s="604"/>
      <c r="AA14" s="604"/>
      <c r="AB14" s="604"/>
      <c r="AC14" s="604"/>
      <c r="AD14" s="604"/>
      <c r="AE14" s="604"/>
      <c r="AF14" s="604"/>
      <c r="AG14" s="604"/>
      <c r="AH14" s="604"/>
      <c r="AI14" s="604"/>
      <c r="AJ14" s="604"/>
      <c r="AK14" s="604"/>
      <c r="AL14" s="604"/>
      <c r="AM14" s="606">
        <v>15</v>
      </c>
    </row>
    <row s="1853" customFormat="1" customHeight="1" ht="15.75">
      <c r="A15" s="293"/>
      <c r="B15" s="293"/>
      <c r="C15" s="176"/>
      <c r="D15" s="2108"/>
      <c r="E15" s="2111"/>
      <c r="F15" s="2107"/>
      <c r="G15" s="1060"/>
      <c r="H15" s="1061"/>
      <c r="I15" s="580" t="s">
        <v>121</v>
      </c>
      <c r="J15" s="177"/>
      <c r="K15" s="177"/>
      <c r="L15" s="177"/>
      <c r="M15" s="608"/>
      <c r="N15" s="812"/>
      <c r="O15" s="1416"/>
      <c r="P15" s="1413"/>
      <c r="Q15" s="1413"/>
      <c r="R15" s="1413"/>
      <c r="S15" s="1416"/>
      <c r="T15" s="1416"/>
      <c r="U15" s="1266"/>
      <c r="V15" s="1266"/>
      <c r="W15" s="1266"/>
      <c r="X15" s="1266"/>
      <c r="Y15" s="604"/>
      <c r="Z15" s="604"/>
      <c r="AA15" s="604"/>
      <c r="AB15" s="604"/>
      <c r="AC15" s="604"/>
      <c r="AD15" s="604"/>
      <c r="AE15" s="604"/>
      <c r="AF15" s="604"/>
      <c r="AG15" s="604"/>
      <c r="AH15" s="604"/>
      <c r="AI15" s="604"/>
      <c r="AJ15" s="604"/>
      <c r="AK15" s="604"/>
      <c r="AL15" s="604"/>
      <c r="AM15" s="606">
        <v>15</v>
      </c>
    </row>
    <row customHeight="1" ht="15">
      <c r="A16" s="423"/>
      <c r="B16" s="423"/>
      <c r="C16" s="1728" t="s">
        <v>122</v>
      </c>
      <c r="D16" s="2108" t="s">
        <v>110</v>
      </c>
      <c r="E16" s="2109" t="str">
        <f>INDEX(VD_NAME_LIST,MATCH("4190067",VD_ID_LIST,0))</f>
        <v>Производство. Теплоноситель</v>
      </c>
      <c r="F16" s="2107" t="s">
        <v>19</v>
      </c>
      <c r="G16" s="2557"/>
      <c r="H16" s="2127">
        <v>1</v>
      </c>
      <c r="I16" s="2559" t="str">
        <f>IF(U16="","",INDEX(TERRITORY_MR_LIST,MATCH(U16,TERRITORY_LIST_ID,0)))</f>
        <v/>
      </c>
      <c r="J16" s="2107" t="s">
        <v>19</v>
      </c>
      <c r="K16" s="832"/>
      <c r="L16" s="1782" t="s">
        <v>109</v>
      </c>
      <c r="M16" s="603"/>
      <c r="N16" s="604"/>
      <c r="O16" s="604" t="s">
        <v>123</v>
      </c>
      <c r="P16" s="604" t="str">
        <f>$E$16</f>
        <v>Производство. Теплоноситель</v>
      </c>
      <c r="Q16" s="604" t="str">
        <f>IF($F$16="нет","без дифференциации",$I$16)</f>
        <v>без дифференциации</v>
      </c>
      <c r="R16" s="604" t="str">
        <f>IF($J$16="нет","без дифференциации",$M$16)</f>
        <v>без дифференциации</v>
      </c>
      <c r="S16" s="604"/>
      <c r="T16" s="604"/>
      <c r="U16" s="605"/>
      <c r="V16" s="604" t="s">
        <v>124</v>
      </c>
      <c r="W16" s="604"/>
      <c r="X16" s="595"/>
      <c r="Y16" s="595" t="s">
        <v>119</v>
      </c>
      <c r="Z16" s="595">
        <v>1705000</v>
      </c>
      <c r="AA16" s="595"/>
      <c r="AB16" s="595"/>
      <c r="AC16" s="595"/>
      <c r="AD16" s="595"/>
      <c r="AE16" s="595"/>
      <c r="AF16" s="595"/>
      <c r="AG16" s="595"/>
      <c r="AH16" s="595"/>
      <c r="AI16" s="595"/>
      <c r="AJ16" s="595"/>
      <c r="AK16" s="595"/>
      <c r="AL16" s="595"/>
      <c r="AM16" s="1853"/>
    </row>
    <row customHeight="1" ht="15">
      <c r="A17" s="423"/>
      <c r="B17" s="423"/>
      <c r="C17" s="176"/>
      <c r="D17" s="2108"/>
      <c r="E17" s="2110"/>
      <c r="F17" s="2107"/>
      <c r="G17" s="2558"/>
      <c r="H17" s="2127"/>
      <c r="I17" s="2560"/>
      <c r="J17" s="2107"/>
      <c r="K17" s="421"/>
      <c r="L17" s="177"/>
      <c r="M17" s="607" t="s">
        <v>120</v>
      </c>
      <c r="N17" s="604"/>
      <c r="O17" s="604"/>
      <c r="P17" s="604"/>
      <c r="Q17" s="604"/>
      <c r="R17" s="604"/>
      <c r="S17" s="604"/>
      <c r="T17" s="604"/>
      <c r="U17" s="605"/>
      <c r="V17" s="604"/>
      <c r="W17" s="604"/>
      <c r="X17" s="595"/>
      <c r="Y17" s="595"/>
      <c r="Z17" s="595"/>
      <c r="AA17" s="595"/>
      <c r="AB17" s="595"/>
      <c r="AC17" s="595"/>
      <c r="AD17" s="595"/>
      <c r="AE17" s="595"/>
      <c r="AF17" s="595"/>
      <c r="AG17" s="595"/>
      <c r="AH17" s="595"/>
      <c r="AI17" s="595"/>
      <c r="AJ17" s="595"/>
      <c r="AK17" s="595"/>
      <c r="AL17" s="595"/>
      <c r="AM17" s="1853"/>
    </row>
    <row customHeight="1" ht="15">
      <c r="A18" s="423"/>
      <c r="B18" s="423"/>
      <c r="C18" s="176"/>
      <c r="D18" s="2108"/>
      <c r="E18" s="2111"/>
      <c r="F18" s="2107"/>
      <c r="G18" s="421"/>
      <c r="H18" s="177"/>
      <c r="I18" s="580" t="s">
        <v>121</v>
      </c>
      <c r="J18" s="177"/>
      <c r="K18" s="177"/>
      <c r="L18" s="177"/>
      <c r="M18" s="608"/>
      <c r="N18" s="604"/>
      <c r="O18" s="604"/>
      <c r="P18" s="604"/>
      <c r="Q18" s="604"/>
      <c r="R18" s="604"/>
      <c r="S18" s="604"/>
      <c r="T18" s="604"/>
      <c r="U18" s="605"/>
      <c r="V18" s="604"/>
      <c r="W18" s="604"/>
      <c r="X18" s="595"/>
      <c r="Y18" s="595"/>
      <c r="Z18" s="595"/>
      <c r="AA18" s="595"/>
      <c r="AB18" s="595"/>
      <c r="AC18" s="595"/>
      <c r="AD18" s="595"/>
      <c r="AE18" s="595"/>
      <c r="AF18" s="595"/>
      <c r="AG18" s="595"/>
      <c r="AH18" s="595"/>
      <c r="AI18" s="595"/>
      <c r="AJ18" s="595"/>
      <c r="AK18" s="595"/>
      <c r="AL18" s="595"/>
      <c r="AM18" s="1853"/>
    </row>
    <row customHeight="1" ht="15.75">
      <c r="A19" s="609"/>
      <c r="B19" s="135"/>
      <c r="C19" s="806"/>
      <c r="D19" s="421"/>
      <c r="E19" s="571" t="s">
        <v>125</v>
      </c>
      <c r="F19" s="177"/>
      <c r="G19" s="177"/>
      <c r="H19" s="177"/>
      <c r="I19" s="177"/>
      <c r="J19" s="177"/>
      <c r="K19" s="177" t="s">
        <v>22</v>
      </c>
      <c r="L19" s="177"/>
      <c r="M19" s="608"/>
      <c r="N19" s="1627"/>
      <c r="AM19" s="583">
        <v>15</v>
      </c>
    </row>
    <row customHeight="1" ht="11.25" hidden="1">
      <c r="A20" s="583" t="s">
        <v>82</v>
      </c>
      <c r="B20" s="583">
        <v>0</v>
      </c>
      <c r="C20" s="583">
        <v>3</v>
      </c>
      <c r="D20" s="583">
        <v>4</v>
      </c>
      <c r="E20" s="583">
        <v>44</v>
      </c>
      <c r="F20" s="583">
        <v>6</v>
      </c>
      <c r="G20" s="583">
        <v>4</v>
      </c>
      <c r="H20" s="583">
        <v>5</v>
      </c>
      <c r="I20" s="583">
        <v>52</v>
      </c>
      <c r="J20" s="583">
        <v>6</v>
      </c>
      <c r="K20" s="583">
        <v>3</v>
      </c>
      <c r="L20" s="583">
        <v>6</v>
      </c>
      <c r="M20" s="583">
        <v>56</v>
      </c>
      <c r="N20" s="584">
        <v>8</v>
      </c>
      <c r="O20" s="1413">
        <v>0</v>
      </c>
      <c r="P20" s="1413">
        <v>0</v>
      </c>
      <c r="Q20" s="1413">
        <v>0</v>
      </c>
      <c r="R20" s="1413">
        <v>0</v>
      </c>
      <c r="S20" s="1413">
        <v>0</v>
      </c>
      <c r="T20" s="1413">
        <v>0</v>
      </c>
      <c r="U20" s="1263">
        <v>0</v>
      </c>
      <c r="V20" s="1263">
        <v>0</v>
      </c>
      <c r="W20" s="1263">
        <v>0</v>
      </c>
      <c r="X20" s="1263">
        <v>0</v>
      </c>
      <c r="Y20" s="584">
        <v>0</v>
      </c>
      <c r="Z20" s="584">
        <v>0</v>
      </c>
      <c r="AA20" s="584">
        <v>0</v>
      </c>
      <c r="AB20" s="584">
        <v>0</v>
      </c>
      <c r="AC20" s="584">
        <v>0</v>
      </c>
      <c r="AD20" s="584">
        <v>0</v>
      </c>
      <c r="AE20" s="584">
        <v>0</v>
      </c>
      <c r="AF20" s="584">
        <v>0</v>
      </c>
      <c r="AG20" s="584">
        <v>0</v>
      </c>
      <c r="AH20" s="584">
        <v>0</v>
      </c>
      <c r="AI20" s="584">
        <v>0</v>
      </c>
      <c r="AJ20" s="584">
        <v>0</v>
      </c>
      <c r="AK20" s="584">
        <v>0</v>
      </c>
      <c r="AL20" s="584">
        <v>8</v>
      </c>
      <c r="AM20" s="583">
        <v>11</v>
      </c>
    </row>
  </sheetData>
  <sheetProtection formatColumns="0" formatRows="0" autoFilter="0" sort="0" insertRows="0" insertColumns="1" deleteRows="0" deleteColumns="0"/>
  <mergeCells count="27">
    <mergeCell ref="G11:H11"/>
    <mergeCell ref="K11:L11"/>
    <mergeCell ref="D4:I4"/>
    <mergeCell ref="D5:I5"/>
    <mergeCell ref="A6:F6"/>
    <mergeCell ref="A9:A10"/>
    <mergeCell ref="D9:E9"/>
    <mergeCell ref="F9:I9"/>
    <mergeCell ref="E7:M7"/>
    <mergeCell ref="J9:M9"/>
    <mergeCell ref="G10:H10"/>
    <mergeCell ref="K10:L10"/>
    <mergeCell ref="I13:I14"/>
    <mergeCell ref="J13:J14"/>
    <mergeCell ref="D13:D15"/>
    <mergeCell ref="E13:E15"/>
    <mergeCell ref="F13:F15"/>
    <mergeCell ref="G13:G14"/>
    <mergeCell ref="H13:H14"/>
    <mergeCell ref="D16:D18"/>
    <mergeCell ref="E16:E18"/>
    <mergeCell ref="F16:F18"/>
    <mergeCell ref="G16:G17"/>
    <mergeCell ref="H16:H17"/>
    <mergeCell ref="I16:I17"/>
    <mergeCell ref="J16:J17"/>
    <mergeCell ref="C16:C18"/>
  </mergeCells>
  <dataValidations count="2">
    <dataValidation type="textLength" operator="lessThan" allowBlank="1" showInputMessage="1" showErrorMessage="1" error="Допускается ввод не более 900 символов!" sqref="M13">
      <formula1>900</formula1>
    </dataValidation>
    <dataValidation type="textLength" operator="lessThan" allowBlank="1" showInputMessage="1" showErrorMessage="1" error="Допускается ввод не более 900 символов!" sqref="M16">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drawing r:id="rId1"/>
</worksheet>
</file>

<file path=xl/worksheets/sheet4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9C81DCE-1F21-0552-4B1B-5847870C6C41}" mc:Ignorable="x14ac xr xr2 xr3">
  <sheetPr>
    <tabColor rgb="FFE26B0A"/>
  </sheetPr>
  <dimension ref="A1:X40"/>
  <sheetViews>
    <sheetView showGridLines="0" zoomScale="90" workbookViewId="0">
      <pane xSplit="8" ySplit="31" topLeftCell="I32" activePane="bottomRight" state="frozen"/>
      <selection pane="bottomLeft" activeCell="A32" sqref="A32"/>
      <selection pane="topRight" activeCell="I1" sqref="I1"/>
      <selection pane="bottomRight" activeCell="K38" sqref="K38"/>
    </sheetView>
  </sheetViews>
  <sheetFormatPr defaultColWidth="10.57421875" customHeight="1" defaultRowHeight="15"/>
  <cols>
    <col min="1" max="1" style="1632" width="9.140625" hidden="1" customWidth="1"/>
    <col min="2" max="2" style="1635" width="9.140625" hidden="1" customWidth="1"/>
    <col min="3" max="3" style="683" width="4.00390625" customWidth="1"/>
    <col min="4" max="4" style="1635" width="6.00390625" customWidth="1"/>
    <col min="5" max="5" style="1635" width="36.00390625" customWidth="1"/>
    <col min="6" max="6" style="1635" width="9.00390625" customWidth="1"/>
    <col min="7" max="7" style="1635" width="25.7109375" hidden="1" customWidth="1"/>
    <col min="8" max="8" style="1635" width="33.7109375" hidden="1" customWidth="1"/>
    <col min="9" max="9" style="1635" width="25.7109375" customWidth="1"/>
    <col min="10" max="10" style="1635" width="33.00390625" customWidth="1"/>
    <col min="11" max="11" style="1635" width="25.7109375" customWidth="1"/>
    <col min="12" max="12" style="1635" width="33.7109375" customWidth="1"/>
    <col min="13" max="13" style="1366" width="93.00390625" customWidth="1"/>
    <col min="14" max="22" style="1635" width="10.00390625" customWidth="1"/>
    <col min="23" max="23" style="675" width="10.00390625" customWidth="1"/>
    <col min="24" max="24" style="1635" width="10.57421875" hidden="1"/>
  </cols>
  <sheetData>
    <row s="1366" customFormat="1" customHeight="1" ht="22.5" hidden="1">
      <c r="C1" s="672"/>
      <c r="G1" s="417">
        <v>4</v>
      </c>
      <c r="I1" s="417">
        <v>4</v>
      </c>
      <c r="K1" s="1366">
        <v>4</v>
      </c>
      <c r="L1" s="1366"/>
      <c r="W1" s="420"/>
      <c r="X1" s="417" t="s">
        <v>14</v>
      </c>
    </row>
    <row s="1366" customFormat="1" customHeight="1" ht="15" hidden="1">
      <c r="C2" s="672"/>
      <c r="K2" s="1366"/>
      <c r="L2" s="1366"/>
      <c r="W2" s="420"/>
      <c r="X2" s="417">
        <v>0</v>
      </c>
    </row>
    <row customHeight="1" ht="22.5" hidden="1">
      <c r="A3" s="505"/>
      <c r="B3" s="2397"/>
      <c r="C3" s="2398" t="s">
        <v>122</v>
      </c>
      <c r="D3" s="689" t="str">
        <f>B3&amp;".1"</f>
        <v>.1</v>
      </c>
      <c r="E3" s="690" t="s">
        <v>938</v>
      </c>
      <c r="F3" s="691" t="s">
        <v>308</v>
      </c>
      <c r="G3" s="686"/>
      <c r="H3" s="401"/>
      <c r="I3" s="686"/>
      <c r="J3" s="401"/>
      <c r="K3" s="2353"/>
      <c r="L3" s="818"/>
      <c r="M3" s="289" t="s">
        <v>939</v>
      </c>
      <c r="X3" s="505">
        <v>0</v>
      </c>
    </row>
    <row customHeight="1" ht="15" hidden="1">
      <c r="A4" s="505"/>
      <c r="B4" s="2397"/>
      <c r="C4" s="2398"/>
      <c r="D4" s="689" t="str">
        <f>B3&amp;".2"</f>
        <v>.2</v>
      </c>
      <c r="E4" s="690" t="s">
        <v>940</v>
      </c>
      <c r="F4" s="691" t="s">
        <v>308</v>
      </c>
      <c r="G4" s="1738" t="s">
        <v>22</v>
      </c>
      <c r="H4" s="401"/>
      <c r="I4" s="1738" t="s">
        <v>22</v>
      </c>
      <c r="J4" s="401"/>
      <c r="K4" s="1738" t="s">
        <v>22</v>
      </c>
      <c r="L4" s="818"/>
      <c r="M4" s="289" t="s">
        <v>941</v>
      </c>
      <c r="X4" s="505">
        <v>0</v>
      </c>
    </row>
    <row s="1366" customFormat="1" customHeight="1" ht="15" hidden="1">
      <c r="C5" s="672"/>
      <c r="K5" s="1366"/>
      <c r="L5" s="1366"/>
      <c r="W5" s="420"/>
      <c r="X5" s="417">
        <v>0</v>
      </c>
    </row>
    <row customHeight="1" ht="22.5" hidden="1">
      <c r="A6" s="505"/>
      <c r="B6" s="2397"/>
      <c r="C6" s="2398" t="s">
        <v>122</v>
      </c>
      <c r="D6" s="689" t="str">
        <f>B6&amp;".1"</f>
        <v>.1</v>
      </c>
      <c r="E6" s="690" t="s">
        <v>942</v>
      </c>
      <c r="F6" s="691" t="s">
        <v>308</v>
      </c>
      <c r="G6" s="686"/>
      <c r="H6" s="401"/>
      <c r="I6" s="686"/>
      <c r="J6" s="401"/>
      <c r="K6" s="2353"/>
      <c r="L6" s="818"/>
      <c r="M6" s="289" t="s">
        <v>943</v>
      </c>
      <c r="X6" s="505">
        <v>0</v>
      </c>
    </row>
    <row customHeight="1" ht="15" hidden="1">
      <c r="A7" s="505"/>
      <c r="B7" s="2397"/>
      <c r="C7" s="2398"/>
      <c r="D7" s="689" t="str">
        <f>B6&amp;".2"</f>
        <v>.2</v>
      </c>
      <c r="E7" s="690" t="s">
        <v>940</v>
      </c>
      <c r="F7" s="691" t="s">
        <v>308</v>
      </c>
      <c r="G7" s="1738" t="s">
        <v>22</v>
      </c>
      <c r="H7" s="401"/>
      <c r="I7" s="1738" t="s">
        <v>22</v>
      </c>
      <c r="J7" s="401"/>
      <c r="K7" s="1738" t="s">
        <v>22</v>
      </c>
      <c r="L7" s="818"/>
      <c r="M7" s="289" t="s">
        <v>941</v>
      </c>
      <c r="X7" s="505">
        <v>0</v>
      </c>
    </row>
    <row s="1366" customFormat="1" customHeight="1" ht="15" hidden="1">
      <c r="C8" s="672"/>
      <c r="K8" s="1366"/>
      <c r="L8" s="1366"/>
      <c r="W8" s="420"/>
      <c r="X8" s="417">
        <v>0</v>
      </c>
    </row>
    <row customHeight="1" ht="22.5" hidden="1">
      <c r="A9" s="505"/>
      <c r="B9" s="2397"/>
      <c r="C9" s="2398" t="s">
        <v>122</v>
      </c>
      <c r="D9" s="689" t="str">
        <f>B9&amp;".1"</f>
        <v>.1</v>
      </c>
      <c r="E9" s="690" t="s">
        <v>944</v>
      </c>
      <c r="F9" s="691" t="s">
        <v>308</v>
      </c>
      <c r="G9" s="697" t="s">
        <v>22</v>
      </c>
      <c r="H9" s="401" t="s">
        <v>22</v>
      </c>
      <c r="I9" s="2642" t="s">
        <v>22</v>
      </c>
      <c r="J9" s="2643" t="s">
        <v>22</v>
      </c>
      <c r="K9" s="2644" t="s">
        <v>22</v>
      </c>
      <c r="L9" s="2645" t="s">
        <v>22</v>
      </c>
      <c r="M9" s="289"/>
      <c r="X9" s="505">
        <v>0</v>
      </c>
    </row>
    <row customHeight="1" ht="15" hidden="1">
      <c r="A10" s="505"/>
      <c r="B10" s="2397"/>
      <c r="C10" s="2398"/>
      <c r="D10" s="689" t="str">
        <f>B9&amp;".2"</f>
        <v>.2</v>
      </c>
      <c r="E10" s="690" t="s">
        <v>945</v>
      </c>
      <c r="F10" s="691" t="s">
        <v>308</v>
      </c>
      <c r="G10" s="1732" t="s">
        <v>22</v>
      </c>
      <c r="H10" s="401" t="s">
        <v>22</v>
      </c>
      <c r="I10" s="2646" t="s">
        <v>22</v>
      </c>
      <c r="J10" s="2643" t="s">
        <v>22</v>
      </c>
      <c r="K10" s="2647" t="s">
        <v>22</v>
      </c>
      <c r="L10" s="2645" t="s">
        <v>22</v>
      </c>
      <c r="M10" s="289" t="s">
        <v>946</v>
      </c>
      <c r="X10" s="505">
        <v>0</v>
      </c>
    </row>
    <row customHeight="1" ht="15" hidden="1">
      <c r="A11" s="505"/>
      <c r="B11" s="2397"/>
      <c r="C11" s="2398"/>
      <c r="D11" s="689" t="str">
        <f>B9&amp;".3"</f>
        <v>.3</v>
      </c>
      <c r="E11" s="690" t="s">
        <v>947</v>
      </c>
      <c r="F11" s="691" t="s">
        <v>308</v>
      </c>
      <c r="G11" s="1732" t="s">
        <v>22</v>
      </c>
      <c r="H11" s="401" t="s">
        <v>22</v>
      </c>
      <c r="I11" s="2646" t="s">
        <v>22</v>
      </c>
      <c r="J11" s="2643" t="s">
        <v>22</v>
      </c>
      <c r="K11" s="2647" t="s">
        <v>22</v>
      </c>
      <c r="L11" s="2645" t="s">
        <v>22</v>
      </c>
      <c r="M11" s="289" t="s">
        <v>948</v>
      </c>
      <c r="X11" s="505">
        <v>0</v>
      </c>
    </row>
    <row s="1366" customFormat="1" customHeight="1" ht="15" hidden="1">
      <c r="C12" s="672"/>
      <c r="K12" s="1366"/>
      <c r="L12" s="1366"/>
      <c r="W12" s="420"/>
      <c r="X12" s="417">
        <v>0</v>
      </c>
    </row>
    <row customHeight="1" ht="33.75" hidden="1">
      <c r="A13" s="505"/>
      <c r="B13" s="2397"/>
      <c r="C13" s="2398" t="s">
        <v>122</v>
      </c>
      <c r="D13" s="689" t="str">
        <f>B13&amp;".1"</f>
        <v>.1</v>
      </c>
      <c r="E13" s="690" t="s">
        <v>949</v>
      </c>
      <c r="F13" s="691" t="s">
        <v>308</v>
      </c>
      <c r="G13" s="697" t="s">
        <v>22</v>
      </c>
      <c r="H13" s="401" t="s">
        <v>22</v>
      </c>
      <c r="I13" s="2642" t="s">
        <v>22</v>
      </c>
      <c r="J13" s="2643" t="s">
        <v>22</v>
      </c>
      <c r="K13" s="2644" t="s">
        <v>22</v>
      </c>
      <c r="L13" s="2645" t="s">
        <v>22</v>
      </c>
      <c r="M13" s="289" t="s">
        <v>950</v>
      </c>
      <c r="X13" s="505">
        <v>0</v>
      </c>
    </row>
    <row customHeight="1" ht="15" hidden="1">
      <c r="B14" s="2397"/>
      <c r="C14" s="2398"/>
      <c r="D14" s="689" t="str">
        <f>B13&amp;".2"</f>
        <v>.2</v>
      </c>
      <c r="E14" s="690" t="s">
        <v>951</v>
      </c>
      <c r="F14" s="691" t="s">
        <v>308</v>
      </c>
      <c r="G14" s="1732" t="s">
        <v>22</v>
      </c>
      <c r="H14" s="401" t="s">
        <v>22</v>
      </c>
      <c r="I14" s="2646" t="s">
        <v>22</v>
      </c>
      <c r="J14" s="2643" t="s">
        <v>22</v>
      </c>
      <c r="K14" s="2647" t="s">
        <v>22</v>
      </c>
      <c r="L14" s="2645" t="s">
        <v>22</v>
      </c>
      <c r="M14" s="289" t="s">
        <v>952</v>
      </c>
      <c r="X14" s="505">
        <v>0</v>
      </c>
    </row>
    <row s="1366" customFormat="1" customHeight="1" ht="15" hidden="1">
      <c r="C15" s="672"/>
      <c r="K15" s="1366"/>
      <c r="L15" s="1366"/>
      <c r="W15" s="420"/>
      <c r="X15" s="417">
        <v>0</v>
      </c>
    </row>
    <row s="1366" customFormat="1" customHeight="1" ht="15" hidden="1">
      <c r="C16" s="672"/>
      <c r="K16" s="1366"/>
      <c r="L16" s="1366"/>
      <c r="W16" s="420"/>
      <c r="X16" s="417">
        <v>0</v>
      </c>
    </row>
    <row s="1366" customFormat="1" customHeight="1" ht="15" hidden="1">
      <c r="C17" s="672"/>
      <c r="K17" s="1366"/>
      <c r="L17" s="1366"/>
      <c r="W17" s="420"/>
      <c r="X17" s="417">
        <v>0</v>
      </c>
    </row>
    <row s="1366" customFormat="1" customHeight="1" ht="15" hidden="1">
      <c r="C18" s="672"/>
      <c r="K18" s="1366"/>
      <c r="L18" s="1366"/>
      <c r="W18" s="420"/>
      <c r="X18" s="417">
        <v>0</v>
      </c>
    </row>
    <row s="1366" customFormat="1" customHeight="1" ht="15" hidden="1">
      <c r="C19" s="672"/>
      <c r="K19" s="1366"/>
      <c r="L19" s="1366"/>
      <c r="W19" s="420"/>
      <c r="X19" s="417">
        <v>0</v>
      </c>
    </row>
    <row s="1366" customFormat="1" customHeight="1" ht="15" hidden="1">
      <c r="C20" s="672"/>
      <c r="K20" s="1366"/>
      <c r="L20" s="1366"/>
      <c r="W20" s="420"/>
      <c r="X20" s="417">
        <v>0</v>
      </c>
    </row>
    <row customHeight="1" ht="15.75">
      <c r="C21" s="176"/>
      <c r="D21" s="509"/>
      <c r="E21" s="509"/>
      <c r="F21" s="509"/>
      <c r="G21" s="509"/>
      <c r="H21" s="509"/>
      <c r="I21" s="509"/>
      <c r="J21" s="509"/>
      <c r="K21" s="1635"/>
      <c r="L21" s="1635"/>
      <c r="X21" s="505">
        <v>15</v>
      </c>
    </row>
    <row customHeight="1" ht="23.25">
      <c r="C22" s="176"/>
      <c r="D22" s="2237" t="str">
        <f>KNE_NAME_FORM</f>
        <v>Форма 12. Информация об основных потребительских характеристиках товаров, услуг регулируемой организации, цены (тарифы) в сфере теплоснабжения на которые подлежат регулированию, об основных потребительских характеристиках товаров (услуг), поставляемых (оказываемых) единой теплоснабжающей организацией в ценовых зонах теплоснабжения, об основных потребительских характеристиках товаров (услуг), поставляемых (оказываемых) теплоснабжающей организацией в ценовых зонах теплоснабжения и теплосетевой организацией в ценовых зонах теплоснабжения</v>
      </c>
      <c r="E22" s="2237"/>
      <c r="F22" s="2237"/>
      <c r="G22" s="2237"/>
      <c r="H22" s="2237"/>
      <c r="I22" s="2237"/>
      <c r="J22" s="676"/>
      <c r="K22" s="2248"/>
      <c r="L22" s="2248"/>
      <c r="M22" s="537"/>
      <c r="X22" s="505">
        <v>22</v>
      </c>
    </row>
    <row customHeight="1" ht="15.75">
      <c r="C23" s="176"/>
      <c r="D23" s="2176" t="str">
        <f>IF(org=0,"Не определено",org)</f>
        <v>ПАО "ОГК-2"</v>
      </c>
      <c r="E23" s="2176"/>
      <c r="F23" s="2176"/>
      <c r="G23" s="2176"/>
      <c r="H23" s="2176"/>
      <c r="I23" s="2176"/>
      <c r="J23" s="676"/>
      <c r="K23" s="2249"/>
      <c r="L23" s="2249"/>
      <c r="M23" s="537"/>
      <c r="X23" s="505">
        <v>15</v>
      </c>
    </row>
    <row customHeight="1" ht="15.75">
      <c r="C24" s="176"/>
      <c r="D24" s="509"/>
      <c r="E24" s="509"/>
      <c r="F24" s="509"/>
      <c r="G24" s="537">
        <v>22</v>
      </c>
      <c r="H24" s="752"/>
      <c r="I24" s="537">
        <v>22</v>
      </c>
      <c r="J24" s="752"/>
      <c r="K24" s="1366" t="s">
        <v>22</v>
      </c>
      <c r="L24" s="752"/>
      <c r="X24" s="505">
        <v>15</v>
      </c>
    </row>
    <row s="1635" customFormat="1" customHeight="1" ht="1.05">
      <c r="A25" s="759"/>
      <c r="C25" s="176"/>
      <c r="D25" s="509"/>
      <c r="E25" s="509"/>
      <c r="F25" s="509"/>
      <c r="G25" s="537"/>
      <c r="H25" s="752"/>
      <c r="I25" s="537" t="s">
        <v>117</v>
      </c>
      <c r="J25" s="752"/>
      <c r="K25" s="1366" t="s">
        <v>123</v>
      </c>
      <c r="L25" s="752"/>
      <c r="M25" s="417"/>
      <c r="W25" s="675"/>
      <c r="X25" s="758">
        <v>1</v>
      </c>
    </row>
    <row customHeight="1" ht="15.75">
      <c r="C26" s="176"/>
      <c r="D26" s="711"/>
      <c r="E26" s="2367" t="s">
        <v>105</v>
      </c>
      <c r="F26" s="2368"/>
      <c r="G26" s="2395" t="str">
        <f>IF(G25="","",INDEX(DIFFERENTIATION_UNMERGE_VD,MATCH(G25,DIFFERENTIATION_ID_DIFF,0)))</f>
        <v/>
      </c>
      <c r="H26" s="2396"/>
      <c r="I26" s="2395" t="str">
        <f>IF(I25="","",INDEX(DIFFERENTIATION_UNMERGE_VD,MATCH(I25,DIFFERENTIATION_ID_DIFF,0)))</f>
        <v>Производство тепловой энергии. Некомбинированная выработка</v>
      </c>
      <c r="J26" s="2396"/>
      <c r="K26" s="2395" t="str">
        <f>IF(K25="","",INDEX(DIFFERENTIATION_UNMERGE_VD,MATCH(K25,DIFFERENTIATION_ID_DIFF,0)))</f>
        <v>Производство. Теплоноситель</v>
      </c>
      <c r="L26" s="2396"/>
      <c r="M26" s="2175" t="s">
        <v>303</v>
      </c>
      <c r="X26" s="505">
        <v>15</v>
      </c>
    </row>
    <row s="1635" customFormat="1" customHeight="1" ht="15.75">
      <c r="A27" s="759"/>
      <c r="C27" s="176"/>
      <c r="D27" s="711"/>
      <c r="E27" s="2367" t="s">
        <v>566</v>
      </c>
      <c r="F27" s="2368"/>
      <c r="G27" s="2395" t="str">
        <f>IF(G25="","",INDEX(DIFFERENTIATION_UNMERGE_AREA,MATCH(G25,DIFFERENTIATION_ID_DIFF,0)))</f>
        <v/>
      </c>
      <c r="H27" s="2396"/>
      <c r="I27" s="2395" t="str">
        <f>IF(I25="","",INDEX(DIFFERENTIATION_UNMERGE_AREA,MATCH(I25,DIFFERENTIATION_ID_DIFF,0)))</f>
        <v>без дифференциации</v>
      </c>
      <c r="J27" s="2396"/>
      <c r="K27" s="2395" t="str">
        <f>IF(K25="","",INDEX(DIFFERENTIATION_UNMERGE_AREA,MATCH(K25,DIFFERENTIATION_ID_DIFF,0)))</f>
        <v>без дифференциации</v>
      </c>
      <c r="L27" s="2396"/>
      <c r="M27" s="2195"/>
      <c r="W27" s="675"/>
      <c r="X27" s="758">
        <v>15</v>
      </c>
    </row>
    <row s="1635" customFormat="1" customHeight="1" ht="15.75">
      <c r="A28" s="759"/>
      <c r="C28" s="176"/>
      <c r="D28" s="711"/>
      <c r="E28" s="2367" t="s">
        <v>567</v>
      </c>
      <c r="F28" s="2368"/>
      <c r="G28" s="2395" t="str">
        <f>IF(G25="","",INDEX(DIFFERENTIATION_UNMERGE_SYSTEM,MATCH(G25,DIFFERENTIATION_ID_DIFF,0)))</f>
        <v/>
      </c>
      <c r="H28" s="2396"/>
      <c r="I28" s="2395" t="str">
        <f>IF(I25="","",INDEX(DIFFERENTIATION_UNMERGE_SYSTEM,MATCH(I25,DIFFERENTIATION_ID_DIFF,0)))</f>
        <v>без дифференциации</v>
      </c>
      <c r="J28" s="2396"/>
      <c r="K28" s="2395" t="str">
        <f>IF(K25="","",INDEX(DIFFERENTIATION_UNMERGE_SYSTEM,MATCH(K25,DIFFERENTIATION_ID_DIFF,0)))</f>
        <v>без дифференциации</v>
      </c>
      <c r="L28" s="2396"/>
      <c r="M28" s="2195"/>
      <c r="W28" s="675"/>
      <c r="X28" s="758">
        <v>15</v>
      </c>
    </row>
    <row s="1635" customFormat="1" customHeight="1" ht="15.75">
      <c r="A29" s="759"/>
      <c r="C29" s="176"/>
      <c r="D29" s="2369" t="s">
        <v>302</v>
      </c>
      <c r="E29" s="2370"/>
      <c r="F29" s="2370"/>
      <c r="G29" s="887"/>
      <c r="H29" s="887"/>
      <c r="I29" s="887"/>
      <c r="J29" s="888"/>
      <c r="K29" s="2367"/>
      <c r="L29" s="2367"/>
      <c r="M29" s="2195"/>
      <c r="W29" s="675"/>
      <c r="X29" s="758">
        <v>15</v>
      </c>
    </row>
    <row customHeight="1" ht="35.699999999999996">
      <c r="C30" s="176"/>
      <c r="D30" s="761" t="s">
        <v>88</v>
      </c>
      <c r="E30" s="760" t="s">
        <v>304</v>
      </c>
      <c r="F30" s="760" t="s">
        <v>568</v>
      </c>
      <c r="G30" s="808" t="s">
        <v>305</v>
      </c>
      <c r="H30" s="807" t="s">
        <v>392</v>
      </c>
      <c r="I30" s="684" t="s">
        <v>305</v>
      </c>
      <c r="J30" s="465" t="s">
        <v>392</v>
      </c>
      <c r="K30" s="2262" t="s">
        <v>305</v>
      </c>
      <c r="L30" s="2312" t="s">
        <v>392</v>
      </c>
      <c r="M30" s="2201"/>
      <c r="X30" s="505">
        <v>34</v>
      </c>
    </row>
    <row customHeight="1" ht="15" hidden="1">
      <c r="C31" s="176"/>
      <c r="D31" s="593"/>
      <c r="E31" s="593"/>
      <c r="F31" s="593"/>
      <c r="G31" s="659"/>
      <c r="H31" s="659"/>
      <c r="I31" s="659"/>
      <c r="J31" s="659"/>
      <c r="K31" s="683"/>
      <c r="L31" s="683"/>
      <c r="M31" s="289"/>
      <c r="X31" s="505">
        <v>0</v>
      </c>
    </row>
    <row customHeight="1" ht="24">
      <c r="A32" s="505"/>
      <c r="B32" s="505" t="s">
        <v>953</v>
      </c>
      <c r="C32" s="526"/>
      <c r="D32" s="692">
        <v>1</v>
      </c>
      <c r="E32" s="693" t="s">
        <v>954</v>
      </c>
      <c r="F32" s="691" t="s">
        <v>308</v>
      </c>
      <c r="G32" s="813" t="s">
        <v>308</v>
      </c>
      <c r="H32" s="813" t="s">
        <v>308</v>
      </c>
      <c r="I32" s="691" t="s">
        <v>308</v>
      </c>
      <c r="J32" s="691" t="s">
        <v>308</v>
      </c>
      <c r="K32" s="2263" t="s">
        <v>308</v>
      </c>
      <c r="L32" s="2263" t="s">
        <v>308</v>
      </c>
      <c r="M32" s="289"/>
      <c r="X32" s="505">
        <v>23</v>
      </c>
    </row>
    <row customHeight="1" ht="11.549999999999999">
      <c r="A33" s="505"/>
      <c r="C33" s="505"/>
      <c r="D33" s="347"/>
      <c r="E33" s="580" t="s">
        <v>588</v>
      </c>
      <c r="F33" s="572"/>
      <c r="G33" s="572"/>
      <c r="H33" s="572"/>
      <c r="I33" s="572"/>
      <c r="J33" s="572"/>
      <c r="K33" s="2648"/>
      <c r="L33" s="2649"/>
      <c r="M33" s="573"/>
      <c r="W33" s="505"/>
      <c r="X33" s="505">
        <v>11</v>
      </c>
    </row>
    <row customHeight="1" ht="24">
      <c r="A34" s="505"/>
      <c r="B34" s="581" t="s">
        <v>639</v>
      </c>
      <c r="C34" s="526"/>
      <c r="D34" s="692">
        <v>2</v>
      </c>
      <c r="E34" s="693" t="s">
        <v>955</v>
      </c>
      <c r="F34" s="820" t="s">
        <v>308</v>
      </c>
      <c r="G34" s="820" t="s">
        <v>308</v>
      </c>
      <c r="H34" s="820" t="s">
        <v>308</v>
      </c>
      <c r="I34" s="691"/>
      <c r="J34" s="691"/>
      <c r="K34" s="2263" t="s">
        <v>308</v>
      </c>
      <c r="L34" s="2263" t="s">
        <v>308</v>
      </c>
      <c r="M34" s="289"/>
      <c r="X34" s="505">
        <v>23</v>
      </c>
    </row>
    <row customHeight="1" ht="11.549999999999999">
      <c r="A35" s="505"/>
      <c r="C35" s="505"/>
      <c r="D35" s="347"/>
      <c r="E35" s="580" t="s">
        <v>956</v>
      </c>
      <c r="F35" s="572"/>
      <c r="G35" s="694"/>
      <c r="H35" s="572"/>
      <c r="I35" s="694"/>
      <c r="J35" s="572"/>
      <c r="K35" s="2650"/>
      <c r="L35" s="2651"/>
      <c r="M35" s="573"/>
      <c r="W35" s="505"/>
      <c r="X35" s="505">
        <v>11</v>
      </c>
    </row>
    <row customHeight="1" ht="71.25">
      <c r="A36" s="505"/>
      <c r="B36" s="505" t="s">
        <v>957</v>
      </c>
      <c r="C36" s="526"/>
      <c r="D36" s="692">
        <v>3</v>
      </c>
      <c r="E36" s="693" t="s">
        <v>958</v>
      </c>
      <c r="F36" s="695" t="s">
        <v>308</v>
      </c>
      <c r="G36" s="814" t="s">
        <v>959</v>
      </c>
      <c r="H36" s="813" t="s">
        <v>308</v>
      </c>
      <c r="I36" s="524" t="s">
        <v>960</v>
      </c>
      <c r="J36" s="691" t="s">
        <v>308</v>
      </c>
      <c r="K36" s="2107" t="s">
        <v>960</v>
      </c>
      <c r="L36" s="2263" t="s">
        <v>308</v>
      </c>
      <c r="M36" s="289" t="s">
        <v>961</v>
      </c>
      <c r="X36" s="505">
        <v>68</v>
      </c>
    </row>
    <row customHeight="1" ht="11.549999999999999">
      <c r="A37" s="505"/>
      <c r="C37" s="505"/>
      <c r="D37" s="347"/>
      <c r="E37" s="580" t="s">
        <v>962</v>
      </c>
      <c r="F37" s="572"/>
      <c r="G37" s="694"/>
      <c r="H37" s="694"/>
      <c r="I37" s="694"/>
      <c r="J37" s="694"/>
      <c r="K37" s="2652"/>
      <c r="L37" s="2653"/>
      <c r="M37" s="573"/>
      <c r="W37" s="505"/>
      <c r="X37" s="505">
        <v>11</v>
      </c>
    </row>
    <row customHeight="1" ht="71.25">
      <c r="A38" s="505"/>
      <c r="B38" s="505" t="s">
        <v>963</v>
      </c>
      <c r="C38" s="526"/>
      <c r="D38" s="692">
        <v>4</v>
      </c>
      <c r="E38" s="693" t="s">
        <v>964</v>
      </c>
      <c r="F38" s="695" t="s">
        <v>308</v>
      </c>
      <c r="G38" s="814" t="s">
        <v>959</v>
      </c>
      <c r="H38" s="815" t="s">
        <v>308</v>
      </c>
      <c r="I38" s="524" t="s">
        <v>960</v>
      </c>
      <c r="J38" s="521" t="s">
        <v>308</v>
      </c>
      <c r="K38" s="2107" t="s">
        <v>960</v>
      </c>
      <c r="L38" s="2312" t="s">
        <v>308</v>
      </c>
      <c r="M38" s="679" t="s">
        <v>965</v>
      </c>
      <c r="X38" s="505">
        <v>68</v>
      </c>
    </row>
    <row customHeight="1" ht="11.549999999999999">
      <c r="A39" s="505"/>
      <c r="C39" s="505"/>
      <c r="D39" s="347"/>
      <c r="E39" s="580" t="s">
        <v>966</v>
      </c>
      <c r="F39" s="572"/>
      <c r="G39" s="572"/>
      <c r="H39" s="696"/>
      <c r="I39" s="572"/>
      <c r="J39" s="696"/>
      <c r="K39" s="2654"/>
      <c r="L39" s="2655"/>
      <c r="M39" s="573"/>
      <c r="W39" s="505"/>
      <c r="X39" s="505">
        <v>11</v>
      </c>
    </row>
    <row customHeight="1" ht="22.5" hidden="1">
      <c r="A40" s="449" t="s">
        <v>82</v>
      </c>
      <c r="B40" s="505">
        <v>0</v>
      </c>
      <c r="C40" s="683">
        <v>4</v>
      </c>
      <c r="D40" s="505">
        <v>6</v>
      </c>
      <c r="E40" s="505">
        <v>36</v>
      </c>
      <c r="F40" s="505">
        <v>9</v>
      </c>
      <c r="G40" s="758">
        <v>0</v>
      </c>
      <c r="H40" s="758">
        <v>0</v>
      </c>
      <c r="I40" s="505">
        <v>25</v>
      </c>
      <c r="J40" s="505">
        <v>33</v>
      </c>
      <c r="K40" s="1635">
        <v>0</v>
      </c>
      <c r="L40" s="1635">
        <v>0</v>
      </c>
      <c r="M40" s="417">
        <v>93</v>
      </c>
      <c r="N40" s="505">
        <v>10</v>
      </c>
      <c r="O40" s="505">
        <v>10</v>
      </c>
      <c r="P40" s="505">
        <v>10</v>
      </c>
      <c r="Q40" s="505">
        <v>10</v>
      </c>
      <c r="R40" s="505">
        <v>10</v>
      </c>
      <c r="S40" s="505">
        <v>10</v>
      </c>
      <c r="T40" s="505">
        <v>10</v>
      </c>
      <c r="U40" s="505">
        <v>10</v>
      </c>
      <c r="V40" s="505">
        <v>10</v>
      </c>
      <c r="W40" s="675">
        <v>10</v>
      </c>
      <c r="X40" s="505">
        <v>23</v>
      </c>
    </row>
  </sheetData>
  <sheetProtection formatColumns="0" formatRows="0" autoFilter="0" sort="0" insertRows="0" insertColumns="1" deleteRows="0" deleteColumns="0"/>
  <mergeCells count="24">
    <mergeCell ref="B3:B4"/>
    <mergeCell ref="C3:C4"/>
    <mergeCell ref="B6:B7"/>
    <mergeCell ref="C6:C7"/>
    <mergeCell ref="B9:B11"/>
    <mergeCell ref="C9:C11"/>
    <mergeCell ref="B13:B14"/>
    <mergeCell ref="C13:C14"/>
    <mergeCell ref="D22:I22"/>
    <mergeCell ref="D23:I23"/>
    <mergeCell ref="I26:J26"/>
    <mergeCell ref="E26:F26"/>
    <mergeCell ref="G28:H28"/>
    <mergeCell ref="M26:M30"/>
    <mergeCell ref="E27:F27"/>
    <mergeCell ref="E28:F28"/>
    <mergeCell ref="I27:J27"/>
    <mergeCell ref="I28:J28"/>
    <mergeCell ref="G26:H26"/>
    <mergeCell ref="G27:H27"/>
    <mergeCell ref="D29:F29"/>
    <mergeCell ref="K28:L28"/>
    <mergeCell ref="K26:L26"/>
    <mergeCell ref="K27:L27"/>
  </mergeCells>
  <dataValidations count="5">
    <dataValidation allowBlank="1" showInputMessage="1" showErrorMessage="1" prompt="Для выбора выполните двойной щелчок левой клавиши мыши по ячейке." sqref="I36 G38 I38 G36 K36 K38"/>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3:H4 J3:J4 L3:L4 H6:H7 J6:J7 L6:L7 J9:J11 L9:L11 H9:H11 J13:J14 L13:L14 H13:H14">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I14 I4 I10:I11 G7 G14 I7 G10:G11 G4 K4 K7 K10 K11 K14"/>
    <dataValidation type="textLength" operator="lessThanOrEqual" allowBlank="1" showInputMessage="1" showErrorMessage="1" errorTitle="Ошибка" error="Допускается ввод не более 900 символов!" sqref="I3 I6 I9 I13 G6 G13 G9 G3 K3 K6 K9 K13">
      <formula1>900</formula1>
    </dataValidation>
    <dataValidation allowBlank="1" showInputMessage="1" showErrorMessage="1" prompt="Количество поданных заявок на подключение (технологическое присоединение) к системе теплоснабжения в течение квартала, шт." sqref="E30"/>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9264808-1E66-83D5-87BF-7EA62CF7110C}" mc:Ignorable="x14ac xr xr2 xr3">
  <sheetPr>
    <tabColor theme="9" tint="-0.25"/>
  </sheetPr>
  <dimension ref="A1:AE16"/>
  <sheetViews>
    <sheetView showGridLines="0" zoomScale="85" workbookViewId="0">
      <pane xSplit="7" ySplit="10" topLeftCell="H11" activePane="bottomRight" state="frozen"/>
      <selection pane="bottomLeft" activeCell="A11" sqref="A11"/>
      <selection pane="topRight" activeCell="H1" sqref="H1"/>
      <selection pane="bottomRight" activeCell="A1" sqref="A1"/>
    </sheetView>
  </sheetViews>
  <sheetFormatPr defaultColWidth="9.140625" customHeight="1" defaultRowHeight="10.5"/>
  <cols>
    <col min="1" max="3" style="1166" width="6.7109375" hidden="1" customWidth="1"/>
    <col min="4" max="4" style="1366" width="6.7109375" hidden="1" customWidth="1"/>
    <col min="5" max="5" style="1635" width="3.00390625" customWidth="1"/>
    <col min="6" max="6" style="1635" width="6.00390625" customWidth="1"/>
    <col min="7" max="7" style="1635" width="37.00390625" customWidth="1"/>
    <col min="8" max="8" style="1635" width="16.00390625" customWidth="1"/>
    <col min="9" max="10" style="1635" width="19.00390625" customWidth="1"/>
    <col min="11" max="11" style="1635" width="24.00390625" customWidth="1"/>
    <col min="12" max="13" style="1635" width="25.00390625" customWidth="1"/>
    <col min="14" max="16" style="1635" width="17.00390625" customWidth="1"/>
    <col min="17" max="24" style="1635" width="19.00390625" customWidth="1"/>
    <col min="25" max="25" style="1635" width="7.00390625" customWidth="1"/>
    <col min="26" max="26" style="1635" width="3.00390625" customWidth="1"/>
    <col min="27" max="27" style="1635" width="6.00390625" customWidth="1"/>
    <col min="28" max="28" style="1635" width="34.00390625" customWidth="1"/>
    <col min="29" max="30" style="1635" width="8.00390625" customWidth="1"/>
    <col min="31" max="31" style="1635" width="9.140625" hidden="1"/>
  </cols>
  <sheetData>
    <row s="1366" customFormat="1" customHeight="1" ht="10.5" hidden="1">
      <c r="A1" s="895"/>
      <c r="B1" s="895"/>
      <c r="C1" s="895"/>
      <c r="E1" s="537"/>
      <c r="H1" s="1160"/>
      <c r="AE1" s="417" t="s">
        <v>14</v>
      </c>
    </row>
    <row customHeight="1" ht="10.5" hidden="1">
      <c r="AE2" s="758">
        <v>0</v>
      </c>
    </row>
    <row s="1632" customFormat="1" customHeight="1" ht="10.5" hidden="1">
      <c r="A3" s="895"/>
      <c r="B3" s="895"/>
      <c r="C3" s="895"/>
      <c r="D3" s="417"/>
      <c r="E3" s="362"/>
      <c r="G3" s="1632" t="s">
        <v>967</v>
      </c>
      <c r="H3" s="1156"/>
      <c r="AE3" s="759">
        <v>0</v>
      </c>
    </row>
    <row customHeight="1" ht="3">
      <c r="AE4" s="758">
        <v>3</v>
      </c>
    </row>
    <row customHeight="1" ht="27.299999999999997">
      <c r="F5" s="2248" t="str">
        <f>IP_NAME_FORM</f>
        <v>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v>
      </c>
      <c r="G5" s="2248"/>
      <c r="H5" s="2248"/>
      <c r="I5" s="2248"/>
      <c r="J5" s="2248"/>
      <c r="K5" s="2248"/>
      <c r="M5" s="582"/>
      <c r="AB5" s="906"/>
      <c r="AE5" s="758">
        <v>26</v>
      </c>
    </row>
    <row s="1635" customFormat="1" customHeight="1" ht="16.8">
      <c r="A6" s="1166"/>
      <c r="B6" s="1166"/>
      <c r="C6" s="1166"/>
      <c r="D6" s="1160"/>
      <c r="E6" s="1635"/>
      <c r="F6" s="2249" t="str">
        <f>IF(org=0,"Не определено",org)</f>
        <v>ПАО "ОГК-2"</v>
      </c>
      <c r="G6" s="2249"/>
      <c r="H6" s="2249"/>
      <c r="I6" s="2249"/>
      <c r="J6" s="2249"/>
      <c r="K6" s="2249"/>
      <c r="M6" s="582"/>
      <c r="AB6" s="1148"/>
      <c r="AE6" s="1631">
        <v>16</v>
      </c>
    </row>
    <row customHeight="1" ht="10.5">
      <c r="AE7" s="758">
        <v>10</v>
      </c>
    </row>
    <row customHeight="1" ht="10.5">
      <c r="A8" s="1051"/>
      <c r="B8" s="1051"/>
      <c r="C8" s="1051"/>
      <c r="F8" s="2101" t="s">
        <v>302</v>
      </c>
      <c r="G8" s="2102"/>
      <c r="H8" s="2102"/>
      <c r="I8" s="2102"/>
      <c r="J8" s="2102"/>
      <c r="K8" s="2102"/>
      <c r="L8" s="2102"/>
      <c r="M8" s="2102"/>
      <c r="N8" s="2102"/>
      <c r="O8" s="2102"/>
      <c r="P8" s="2102"/>
      <c r="Q8" s="2102"/>
      <c r="R8" s="2102"/>
      <c r="S8" s="2102"/>
      <c r="T8" s="2102"/>
      <c r="U8" s="2102"/>
      <c r="V8" s="2102"/>
      <c r="W8" s="2102"/>
      <c r="X8" s="2102"/>
      <c r="Y8" s="2102"/>
      <c r="Z8" s="2102"/>
      <c r="AA8" s="2102"/>
      <c r="AB8" s="2103"/>
      <c r="AE8" s="758">
        <v>10</v>
      </c>
    </row>
    <row customHeight="1" ht="43.050000000000004">
      <c r="A9" s="905"/>
      <c r="B9" s="905"/>
      <c r="C9" s="905"/>
      <c r="F9" s="2127" t="s">
        <v>88</v>
      </c>
      <c r="G9" s="2127" t="s">
        <v>967</v>
      </c>
      <c r="H9" s="2175" t="s">
        <v>968</v>
      </c>
      <c r="I9" s="2127" t="s">
        <v>969</v>
      </c>
      <c r="J9" s="2127" t="s">
        <v>970</v>
      </c>
      <c r="K9" s="2127" t="s">
        <v>971</v>
      </c>
      <c r="L9" s="2127" t="s">
        <v>972</v>
      </c>
      <c r="M9" s="2127" t="s">
        <v>973</v>
      </c>
      <c r="N9" s="2209" t="s">
        <v>974</v>
      </c>
      <c r="O9" s="2209"/>
      <c r="P9" s="2209"/>
      <c r="Q9" s="2399" t="s">
        <v>975</v>
      </c>
      <c r="R9" s="2400"/>
      <c r="S9" s="2400"/>
      <c r="T9" s="2401"/>
      <c r="U9" s="2399" t="s">
        <v>976</v>
      </c>
      <c r="V9" s="2400"/>
      <c r="W9" s="2400"/>
      <c r="X9" s="2401"/>
      <c r="Y9" s="2101" t="s">
        <v>977</v>
      </c>
      <c r="Z9" s="2102"/>
      <c r="AA9" s="2102"/>
      <c r="AB9" s="2103"/>
      <c r="AE9" s="758">
        <v>41</v>
      </c>
    </row>
    <row customHeight="1" ht="43.050000000000004">
      <c r="A10" s="905"/>
      <c r="B10" s="905"/>
      <c r="C10" s="905"/>
      <c r="F10" s="2175"/>
      <c r="G10" s="2175"/>
      <c r="H10" s="2232"/>
      <c r="I10" s="2175"/>
      <c r="J10" s="2175"/>
      <c r="K10" s="2175"/>
      <c r="L10" s="2175"/>
      <c r="M10" s="2175"/>
      <c r="N10" s="903" t="s">
        <v>978</v>
      </c>
      <c r="O10" s="903" t="s">
        <v>979</v>
      </c>
      <c r="P10" s="904" t="s">
        <v>980</v>
      </c>
      <c r="Q10" s="915" t="s">
        <v>89</v>
      </c>
      <c r="R10" s="915" t="s">
        <v>981</v>
      </c>
      <c r="S10" s="915" t="s">
        <v>982</v>
      </c>
      <c r="T10" s="916" t="s">
        <v>983</v>
      </c>
      <c r="U10" s="915" t="s">
        <v>89</v>
      </c>
      <c r="V10" s="915" t="s">
        <v>984</v>
      </c>
      <c r="W10" s="915" t="s">
        <v>982</v>
      </c>
      <c r="X10" s="916" t="s">
        <v>983</v>
      </c>
      <c r="Y10" s="301" t="s">
        <v>985</v>
      </c>
      <c r="Z10" s="2101" t="s">
        <v>88</v>
      </c>
      <c r="AA10" s="2103"/>
      <c r="AB10" s="1049" t="s">
        <v>986</v>
      </c>
      <c r="AE10" s="758">
        <v>41</v>
      </c>
    </row>
    <row s="1642" customFormat="1" customHeight="1" ht="5.25" hidden="1">
      <c r="A11" s="1052"/>
      <c r="B11" s="1052"/>
      <c r="C11" s="1052"/>
      <c r="E11" s="1050"/>
      <c r="F11" s="2406" t="s">
        <v>378</v>
      </c>
      <c r="G11" s="2403"/>
      <c r="H11" s="2402"/>
      <c r="I11" s="2402"/>
      <c r="J11" s="2402"/>
      <c r="K11" s="2404"/>
      <c r="L11" s="2404"/>
      <c r="M11" s="2404"/>
      <c r="N11" s="2402"/>
      <c r="O11" s="2402"/>
      <c r="P11" s="2127"/>
      <c r="Q11" s="2179"/>
      <c r="R11" s="2179"/>
      <c r="S11" s="2179"/>
      <c r="T11" s="2402"/>
      <c r="U11" s="2179"/>
      <c r="V11" s="2179"/>
      <c r="W11" s="2179"/>
      <c r="X11" s="2402"/>
      <c r="Y11" s="2108"/>
      <c r="Z11" s="2108"/>
      <c r="AA11" s="2108"/>
      <c r="AB11" s="2108"/>
      <c r="AD11" s="511" t="s">
        <v>987</v>
      </c>
      <c r="AE11" s="511">
        <v>0</v>
      </c>
    </row>
    <row s="1642" customFormat="1" customHeight="1" ht="5.25" hidden="1">
      <c r="A12" s="896"/>
      <c r="B12" s="896"/>
      <c r="C12" s="896"/>
      <c r="E12" s="518"/>
      <c r="F12" s="2406"/>
      <c r="G12" s="2403"/>
      <c r="H12" s="2402"/>
      <c r="I12" s="2402"/>
      <c r="J12" s="2402"/>
      <c r="K12" s="2404"/>
      <c r="L12" s="2404"/>
      <c r="M12" s="2404"/>
      <c r="N12" s="2402"/>
      <c r="O12" s="2402"/>
      <c r="P12" s="2127"/>
      <c r="Q12" s="2179"/>
      <c r="R12" s="2179"/>
      <c r="S12" s="2179"/>
      <c r="T12" s="2402"/>
      <c r="U12" s="2179"/>
      <c r="V12" s="2179"/>
      <c r="W12" s="2179"/>
      <c r="X12" s="2402"/>
      <c r="Y12" s="2405"/>
      <c r="Z12" s="2405"/>
      <c r="AA12" s="2405"/>
      <c r="AB12" s="2405"/>
      <c r="AE12" s="511">
        <v>0</v>
      </c>
    </row>
    <row customHeight="1" ht="10.5">
      <c r="F13" s="902"/>
      <c r="G13" s="650" t="s">
        <v>988</v>
      </c>
      <c r="H13" s="1168"/>
      <c r="I13" s="572"/>
      <c r="J13" s="572"/>
      <c r="K13" s="572"/>
      <c r="L13" s="572"/>
      <c r="M13" s="572"/>
      <c r="N13" s="572"/>
      <c r="O13" s="572"/>
      <c r="P13" s="572"/>
      <c r="Q13" s="572"/>
      <c r="R13" s="572"/>
      <c r="S13" s="572"/>
      <c r="T13" s="572"/>
      <c r="U13" s="572"/>
      <c r="V13" s="572"/>
      <c r="W13" s="572"/>
      <c r="X13" s="572"/>
      <c r="Y13" s="572"/>
      <c r="Z13" s="696"/>
      <c r="AA13" s="696"/>
      <c r="AB13" s="917"/>
      <c r="AE13" s="758">
        <v>10</v>
      </c>
    </row>
    <row customHeight="1" ht="10.5">
      <c r="AE14" s="758">
        <v>10</v>
      </c>
    </row>
    <row s="1642" customFormat="1" customHeight="1" ht="10.5">
      <c r="A15" s="1167"/>
      <c r="B15" s="1167"/>
      <c r="C15" s="1167"/>
      <c r="E15" s="518"/>
      <c r="H15" s="511">
        <f>_xlfn.IFERROR(MATCH("нет",IP_MAIN_DIFFERENTIATION_EVENTS_FLAG,0),0)</f>
        <v>0</v>
      </c>
      <c r="AE15" s="511">
        <v>10</v>
      </c>
    </row>
    <row customHeight="1" ht="10.5" hidden="1">
      <c r="A16" s="895" t="s">
        <v>82</v>
      </c>
      <c r="B16" s="895">
        <v>0</v>
      </c>
      <c r="C16" s="895">
        <v>0</v>
      </c>
      <c r="D16" s="417">
        <v>0</v>
      </c>
      <c r="E16" s="509">
        <v>3</v>
      </c>
      <c r="F16" s="758">
        <v>6</v>
      </c>
      <c r="G16" s="758">
        <v>37</v>
      </c>
      <c r="H16" s="1155">
        <v>16</v>
      </c>
      <c r="I16" s="758">
        <v>19</v>
      </c>
      <c r="J16" s="758">
        <v>19</v>
      </c>
      <c r="K16" s="758">
        <v>24</v>
      </c>
      <c r="L16" s="758">
        <v>25</v>
      </c>
      <c r="M16" s="758">
        <v>25</v>
      </c>
      <c r="N16" s="758">
        <v>17</v>
      </c>
      <c r="O16" s="758">
        <v>17</v>
      </c>
      <c r="P16" s="758">
        <v>17</v>
      </c>
      <c r="Q16" s="758">
        <v>19</v>
      </c>
      <c r="R16" s="758">
        <v>19</v>
      </c>
      <c r="S16" s="758">
        <v>19</v>
      </c>
      <c r="T16" s="758">
        <v>19</v>
      </c>
      <c r="U16" s="758">
        <v>19</v>
      </c>
      <c r="V16" s="758">
        <v>19</v>
      </c>
      <c r="W16" s="758">
        <v>19</v>
      </c>
      <c r="X16" s="758">
        <v>19</v>
      </c>
      <c r="Y16" s="758">
        <v>7</v>
      </c>
      <c r="Z16" s="758">
        <v>3</v>
      </c>
      <c r="AA16" s="758">
        <v>6</v>
      </c>
      <c r="AB16" s="758">
        <v>34</v>
      </c>
      <c r="AC16" s="758">
        <v>8</v>
      </c>
      <c r="AD16" s="758">
        <v>8</v>
      </c>
      <c r="AE16" s="758">
        <v>10</v>
      </c>
    </row>
  </sheetData>
  <sheetProtection formatColumns="0" formatRows="0" autoFilter="0" sort="0" insertRows="0" insertColumns="1" deleteRows="0" deleteColumns="0"/>
  <mergeCells count="39">
    <mergeCell ref="F5:K5"/>
    <mergeCell ref="N11:N12"/>
    <mergeCell ref="O11:O12"/>
    <mergeCell ref="P11:P12"/>
    <mergeCell ref="Y11:Y12"/>
    <mergeCell ref="N9:P9"/>
    <mergeCell ref="M9:M10"/>
    <mergeCell ref="F9:F10"/>
    <mergeCell ref="G9:G10"/>
    <mergeCell ref="I9:I10"/>
    <mergeCell ref="K9:K10"/>
    <mergeCell ref="L9:L10"/>
    <mergeCell ref="F11:F12"/>
    <mergeCell ref="M11:M12"/>
    <mergeCell ref="L11:L12"/>
    <mergeCell ref="J11:J12"/>
    <mergeCell ref="J9:J10"/>
    <mergeCell ref="K11:K12"/>
    <mergeCell ref="Z11:Z12"/>
    <mergeCell ref="Y9:AB9"/>
    <mergeCell ref="AB11:AB12"/>
    <mergeCell ref="Z10:AA10"/>
    <mergeCell ref="AA11:AA12"/>
    <mergeCell ref="F6:K6"/>
    <mergeCell ref="F8:AB8"/>
    <mergeCell ref="U9:X9"/>
    <mergeCell ref="U11:U12"/>
    <mergeCell ref="V11:V12"/>
    <mergeCell ref="W11:W12"/>
    <mergeCell ref="X11:X12"/>
    <mergeCell ref="Q9:T9"/>
    <mergeCell ref="I11:I12"/>
    <mergeCell ref="G11:G12"/>
    <mergeCell ref="T11:T12"/>
    <mergeCell ref="S11:S12"/>
    <mergeCell ref="H9:H10"/>
    <mergeCell ref="H11:H12"/>
    <mergeCell ref="Q11:Q12"/>
    <mergeCell ref="R11:R12"/>
  </mergeCell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8A91B01-FC3F-E558-0593-1B63699E616F}" mc:Ignorable="x14ac xr xr2 xr3">
  <sheetPr>
    <tabColor theme="9" tint="-0.25"/>
  </sheetPr>
  <dimension ref="A1:BG20"/>
  <sheetViews>
    <sheetView showGridLines="0" zoomScale="90" workbookViewId="0">
      <pane xSplit="8" ySplit="12" topLeftCell="I13" activePane="bottomRight" state="frozen"/>
      <selection pane="bottomLeft" activeCell="A13" sqref="A13"/>
      <selection pane="topRight" activeCell="I1" sqref="I1"/>
      <selection pane="bottomRight" activeCell="A1" sqref="A1"/>
    </sheetView>
  </sheetViews>
  <sheetFormatPr defaultColWidth="9.140625" customHeight="1" defaultRowHeight="10.5"/>
  <cols>
    <col min="1" max="3" style="1166" width="4.140625" hidden="1" customWidth="1"/>
    <col min="4" max="4" style="1366" width="4.140625" hidden="1" customWidth="1"/>
    <col min="5" max="5" style="1635" width="3.00390625" customWidth="1"/>
    <col min="6" max="6" style="1635" width="14.00390625" customWidth="1"/>
    <col min="7" max="7" style="1635" width="3.00390625" customWidth="1"/>
    <col min="8" max="8" style="1635" width="7.00390625" customWidth="1"/>
    <col min="9" max="10" style="1635" width="16.00390625" customWidth="1"/>
    <col min="11" max="11" style="1635" width="25.00390625" customWidth="1"/>
    <col min="12" max="12" style="1635" width="7.00390625" customWidth="1"/>
    <col min="13" max="13" style="1635" width="15.00390625" customWidth="1"/>
    <col min="14" max="14" style="1635" width="3.00390625" customWidth="1"/>
    <col min="15" max="15" style="1635" width="4.00390625" customWidth="1"/>
    <col min="16" max="16" style="1635" width="8.00390625" customWidth="1"/>
    <col min="17" max="17" style="1635" width="21.00390625" customWidth="1"/>
    <col min="18" max="18" style="1635" width="14.00390625" customWidth="1"/>
    <col min="19" max="20" style="1635" width="17.00390625" customWidth="1"/>
    <col min="21" max="21" style="1635" width="9.00390625" customWidth="1"/>
    <col min="22" max="22" style="1635" width="12.00390625" customWidth="1"/>
    <col min="23" max="23" style="1635" width="9.00390625" customWidth="1"/>
    <col min="24" max="24" style="1635" width="21.00390625" customWidth="1"/>
    <col min="25" max="25" style="1635" width="12.00390625" customWidth="1"/>
    <col min="26" max="26" style="1635" width="3.00390625" customWidth="1"/>
    <col min="27" max="27" style="1635" width="6.00390625" customWidth="1"/>
    <col min="28" max="28" style="1635" width="38.00390625" customWidth="1"/>
    <col min="29" max="29" style="1635" width="15.00390625" customWidth="1"/>
    <col min="30" max="30" style="1635" width="37.57421875" hidden="1" customWidth="1"/>
    <col min="31" max="31" style="1635" width="15.7109375" hidden="1" customWidth="1"/>
    <col min="32" max="34" style="1635" width="16.00390625" customWidth="1"/>
    <col min="35" max="37" style="1635" width="16.7109375" hidden="1" customWidth="1"/>
    <col min="38" max="58" style="1635" width="8.00390625" customWidth="1"/>
    <col min="59" max="59" style="1635" width="9.140625" hidden="1"/>
  </cols>
  <sheetData>
    <row s="1366" customFormat="1" customHeight="1" ht="10.5" hidden="1">
      <c r="A1" s="895"/>
      <c r="B1" s="895"/>
      <c r="C1" s="895"/>
      <c r="E1" s="537"/>
      <c r="H1" s="1160"/>
      <c r="L1" s="1128"/>
      <c r="M1" s="1128"/>
      <c r="AD1" s="1128"/>
      <c r="AH1" s="1147"/>
      <c r="AI1" s="1140"/>
      <c r="BG1" s="417" t="s">
        <v>14</v>
      </c>
    </row>
    <row customHeight="1" ht="10.5" hidden="1">
      <c r="BG2" s="758">
        <v>0</v>
      </c>
    </row>
    <row s="1632" customFormat="1" customHeight="1" ht="10.5" hidden="1">
      <c r="A3" s="895"/>
      <c r="B3" s="895"/>
      <c r="C3" s="895"/>
      <c r="D3" s="417"/>
      <c r="E3" s="362"/>
      <c r="H3" s="1156"/>
      <c r="L3" s="1126"/>
      <c r="M3" s="1126"/>
      <c r="AD3" s="1126"/>
      <c r="AH3" s="1145"/>
      <c r="AI3" s="1138"/>
      <c r="BG3" s="759">
        <v>0</v>
      </c>
    </row>
    <row customHeight="1" ht="3">
      <c r="BG4" s="758">
        <v>3</v>
      </c>
    </row>
    <row customHeight="1" ht="27.299999999999997">
      <c r="F5" s="2248" t="str">
        <f>IP_NAME_FORM</f>
        <v>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v>
      </c>
      <c r="G5" s="2248"/>
      <c r="H5" s="2248"/>
      <c r="I5" s="2248"/>
      <c r="J5" s="2248"/>
      <c r="K5" s="2248"/>
      <c r="L5" s="1135"/>
      <c r="M5" s="1135"/>
      <c r="AG5" s="906"/>
      <c r="AH5" s="1148"/>
      <c r="BG5" s="758">
        <v>26</v>
      </c>
    </row>
    <row customHeight="1" ht="10.5">
      <c r="F6" s="2176" t="str">
        <f>IF(org=0,"Не определено",org)</f>
        <v>ПАО "ОГК-2"</v>
      </c>
      <c r="G6" s="2176"/>
      <c r="H6" s="2176"/>
      <c r="I6" s="2176"/>
      <c r="J6" s="2176"/>
      <c r="K6" s="2176"/>
      <c r="L6" s="1136"/>
      <c r="M6" s="1136"/>
      <c r="BG6" s="758">
        <v>10</v>
      </c>
    </row>
    <row customHeight="1" ht="11.549999999999999">
      <c r="E7" s="908"/>
      <c r="F7" s="919"/>
      <c r="G7" s="919"/>
      <c r="H7" s="1184"/>
      <c r="I7" s="919"/>
      <c r="J7" s="919"/>
      <c r="K7" s="921"/>
      <c r="L7" s="1133"/>
      <c r="M7" s="1133"/>
      <c r="N7" s="919"/>
      <c r="O7" s="919"/>
      <c r="P7" s="919"/>
      <c r="Q7" s="921"/>
      <c r="R7" s="919"/>
      <c r="S7" s="919"/>
      <c r="T7" s="919"/>
      <c r="U7" s="919"/>
      <c r="V7" s="919"/>
      <c r="W7" s="919"/>
      <c r="X7" s="919"/>
      <c r="Y7" s="919"/>
      <c r="Z7" s="919"/>
      <c r="AA7" s="919"/>
      <c r="AB7" s="919"/>
      <c r="AC7" s="920"/>
      <c r="AD7" s="1132"/>
      <c r="AE7" s="920"/>
      <c r="AF7" s="919"/>
      <c r="AG7" s="919"/>
      <c r="AH7" s="1150"/>
      <c r="AI7" s="1143"/>
      <c r="AJ7" s="919"/>
      <c r="AK7" s="919"/>
      <c r="AL7" s="910"/>
      <c r="AM7" s="910"/>
      <c r="AN7" s="910"/>
      <c r="AO7" s="907"/>
      <c r="AP7" s="907"/>
      <c r="AQ7" s="907"/>
      <c r="AR7" s="907"/>
      <c r="AS7" s="907"/>
      <c r="AT7" s="907"/>
      <c r="AU7" s="907"/>
      <c r="AV7" s="907"/>
      <c r="AW7" s="907"/>
      <c r="AX7" s="907"/>
      <c r="AY7" s="907"/>
      <c r="AZ7" s="907"/>
      <c r="BA7" s="907"/>
      <c r="BB7" s="907"/>
      <c r="BC7" s="907"/>
      <c r="BD7" s="907"/>
      <c r="BE7" s="907"/>
      <c r="BF7" s="907"/>
      <c r="BG7" s="758">
        <v>11</v>
      </c>
    </row>
    <row customHeight="1" ht="10.5">
      <c r="E8" s="908"/>
      <c r="F8" s="2415" t="s">
        <v>302</v>
      </c>
      <c r="G8" s="2416"/>
      <c r="H8" s="2416"/>
      <c r="I8" s="2416"/>
      <c r="J8" s="2416"/>
      <c r="K8" s="2416"/>
      <c r="L8" s="2416"/>
      <c r="M8" s="2416"/>
      <c r="N8" s="2416"/>
      <c r="O8" s="2416"/>
      <c r="P8" s="2416"/>
      <c r="Q8" s="2416"/>
      <c r="R8" s="2416"/>
      <c r="S8" s="2416"/>
      <c r="T8" s="2416"/>
      <c r="U8" s="2416"/>
      <c r="V8" s="2416"/>
      <c r="W8" s="2416"/>
      <c r="X8" s="2416"/>
      <c r="Y8" s="2416"/>
      <c r="Z8" s="2416"/>
      <c r="AA8" s="2416"/>
      <c r="AB8" s="2416"/>
      <c r="AC8" s="2416"/>
      <c r="AD8" s="2416"/>
      <c r="AE8" s="2416"/>
      <c r="AF8" s="2416"/>
      <c r="AG8" s="2416"/>
      <c r="AH8" s="2416"/>
      <c r="AI8" s="2416"/>
      <c r="AJ8" s="2416"/>
      <c r="AK8" s="2417"/>
      <c r="AL8" s="909"/>
      <c r="AM8" s="907"/>
      <c r="AN8" s="907"/>
      <c r="AO8" s="907"/>
      <c r="AP8" s="907"/>
      <c r="AQ8" s="907"/>
      <c r="AR8" s="907"/>
      <c r="AS8" s="907"/>
      <c r="AT8" s="907"/>
      <c r="AU8" s="907"/>
      <c r="AV8" s="907"/>
      <c r="AW8" s="907"/>
      <c r="AX8" s="907"/>
      <c r="AY8" s="907"/>
      <c r="AZ8" s="907"/>
      <c r="BA8" s="907"/>
      <c r="BB8" s="907"/>
      <c r="BC8" s="907"/>
      <c r="BD8" s="907"/>
      <c r="BE8" s="907"/>
      <c r="BF8" s="907"/>
      <c r="BG8" s="758">
        <v>10</v>
      </c>
    </row>
    <row customHeight="1" ht="24">
      <c r="A9" s="905"/>
      <c r="B9" s="905"/>
      <c r="C9" s="905"/>
      <c r="E9" s="908"/>
      <c r="F9" s="2408" t="s">
        <v>989</v>
      </c>
      <c r="G9" s="2409" t="s">
        <v>990</v>
      </c>
      <c r="H9" s="2410"/>
      <c r="I9" s="2127" t="s">
        <v>991</v>
      </c>
      <c r="J9" s="2127"/>
      <c r="K9" s="2127" t="s">
        <v>992</v>
      </c>
      <c r="L9" s="2127"/>
      <c r="M9" s="2127"/>
      <c r="N9" s="2127"/>
      <c r="O9" s="2127"/>
      <c r="P9" s="2127"/>
      <c r="Q9" s="2127"/>
      <c r="R9" s="2127"/>
      <c r="S9" s="2127"/>
      <c r="T9" s="2127"/>
      <c r="U9" s="2127"/>
      <c r="V9" s="2127"/>
      <c r="W9" s="2127"/>
      <c r="X9" s="2127"/>
      <c r="Y9" s="2127"/>
      <c r="Z9" s="2192" t="s">
        <v>993</v>
      </c>
      <c r="AA9" s="2193"/>
      <c r="AB9" s="2127" t="s">
        <v>994</v>
      </c>
      <c r="AC9" s="2127"/>
      <c r="AD9" s="2127"/>
      <c r="AE9" s="2127"/>
      <c r="AF9" s="2175" t="s">
        <v>995</v>
      </c>
      <c r="AG9" s="2127" t="s">
        <v>996</v>
      </c>
      <c r="AH9" s="2127"/>
      <c r="AI9" s="2175" t="s">
        <v>997</v>
      </c>
      <c r="AJ9" s="2127" t="s">
        <v>998</v>
      </c>
      <c r="AK9" s="2127"/>
      <c r="AL9" s="1142"/>
      <c r="AM9" s="907"/>
      <c r="AN9" s="907"/>
      <c r="AO9" s="907"/>
      <c r="AP9" s="907"/>
      <c r="AQ9" s="907"/>
      <c r="AR9" s="907"/>
      <c r="AS9" s="907"/>
      <c r="AT9" s="907"/>
      <c r="AU9" s="907"/>
      <c r="AV9" s="907"/>
      <c r="AW9" s="907"/>
      <c r="AX9" s="907"/>
      <c r="AY9" s="907"/>
      <c r="AZ9" s="907"/>
      <c r="BA9" s="907"/>
      <c r="BB9" s="907"/>
      <c r="BC9" s="907"/>
      <c r="BD9" s="907"/>
      <c r="BE9" s="907"/>
      <c r="BF9" s="907"/>
      <c r="BG9" s="758">
        <v>23</v>
      </c>
    </row>
    <row customHeight="1" ht="25.2">
      <c r="A10" s="905"/>
      <c r="B10" s="905"/>
      <c r="C10" s="905"/>
      <c r="E10" s="912"/>
      <c r="F10" s="2408"/>
      <c r="G10" s="2411"/>
      <c r="H10" s="2412"/>
      <c r="I10" s="2127"/>
      <c r="J10" s="2127"/>
      <c r="K10" s="2127" t="s">
        <v>999</v>
      </c>
      <c r="L10" s="2101" t="s">
        <v>1000</v>
      </c>
      <c r="M10" s="2103"/>
      <c r="N10" s="2127" t="s">
        <v>1001</v>
      </c>
      <c r="O10" s="2127"/>
      <c r="P10" s="2127"/>
      <c r="Q10" s="2127"/>
      <c r="R10" s="2127"/>
      <c r="S10" s="2127"/>
      <c r="T10" s="2127"/>
      <c r="U10" s="2127"/>
      <c r="V10" s="2127"/>
      <c r="W10" s="2127"/>
      <c r="X10" s="2127"/>
      <c r="Y10" s="2127"/>
      <c r="Z10" s="2194"/>
      <c r="AA10" s="2195"/>
      <c r="AB10" s="2127"/>
      <c r="AC10" s="2127"/>
      <c r="AD10" s="2127"/>
      <c r="AE10" s="2127"/>
      <c r="AF10" s="2199"/>
      <c r="AG10" s="2127"/>
      <c r="AH10" s="2127"/>
      <c r="AI10" s="2199"/>
      <c r="AJ10" s="2127"/>
      <c r="AK10" s="2127"/>
      <c r="AL10" s="1142"/>
      <c r="AM10" s="913"/>
      <c r="AN10" s="913"/>
      <c r="AO10" s="913"/>
      <c r="AP10" s="913"/>
      <c r="AQ10" s="913"/>
      <c r="AR10" s="913"/>
      <c r="AS10" s="913"/>
      <c r="AT10" s="913"/>
      <c r="AU10" s="913"/>
      <c r="AV10" s="913"/>
      <c r="AW10" s="913"/>
      <c r="AX10" s="913"/>
      <c r="AY10" s="913"/>
      <c r="AZ10" s="913"/>
      <c r="BA10" s="913"/>
      <c r="BB10" s="913"/>
      <c r="BC10" s="913"/>
      <c r="BD10" s="913"/>
      <c r="BE10" s="913"/>
      <c r="BF10" s="913"/>
      <c r="BG10" s="758">
        <v>24</v>
      </c>
    </row>
    <row s="1635" customFormat="1" customHeight="1" ht="25.2">
      <c r="A11" s="1129"/>
      <c r="B11" s="1129"/>
      <c r="C11" s="1129"/>
      <c r="D11" s="1128"/>
      <c r="E11" s="1130"/>
      <c r="F11" s="2408"/>
      <c r="G11" s="2411"/>
      <c r="H11" s="2412"/>
      <c r="I11" s="2127"/>
      <c r="J11" s="2127"/>
      <c r="K11" s="2127"/>
      <c r="L11" s="2175" t="s">
        <v>1002</v>
      </c>
      <c r="M11" s="2175" t="s">
        <v>1003</v>
      </c>
      <c r="N11" s="2127" t="s">
        <v>1004</v>
      </c>
      <c r="O11" s="2127"/>
      <c r="P11" s="2418" t="s">
        <v>985</v>
      </c>
      <c r="Q11" s="2418" t="s">
        <v>1005</v>
      </c>
      <c r="R11" s="2418" t="s">
        <v>1006</v>
      </c>
      <c r="S11" s="2418" t="s">
        <v>1007</v>
      </c>
      <c r="T11" s="2418"/>
      <c r="U11" s="2418"/>
      <c r="V11" s="2418"/>
      <c r="W11" s="2418"/>
      <c r="X11" s="2418"/>
      <c r="Y11" s="2418"/>
      <c r="Z11" s="2194"/>
      <c r="AA11" s="2195"/>
      <c r="AB11" s="2127" t="s">
        <v>1008</v>
      </c>
      <c r="AC11" s="2127"/>
      <c r="AD11" s="2101" t="s">
        <v>1009</v>
      </c>
      <c r="AE11" s="2103"/>
      <c r="AF11" s="2199"/>
      <c r="AG11" s="2127"/>
      <c r="AH11" s="2127"/>
      <c r="AI11" s="2199"/>
      <c r="AJ11" s="2127"/>
      <c r="AK11" s="2127"/>
      <c r="AL11" s="1142"/>
      <c r="AM11" s="1127"/>
      <c r="AN11" s="1127"/>
      <c r="AO11" s="1127"/>
      <c r="AP11" s="1127"/>
      <c r="AQ11" s="1127"/>
      <c r="AR11" s="1127"/>
      <c r="AS11" s="1127"/>
      <c r="AT11" s="1127"/>
      <c r="AU11" s="1127"/>
      <c r="AV11" s="1127"/>
      <c r="AW11" s="1127"/>
      <c r="AX11" s="1127"/>
      <c r="AY11" s="1127"/>
      <c r="AZ11" s="1127"/>
      <c r="BA11" s="1127"/>
      <c r="BB11" s="1127"/>
      <c r="BC11" s="1127"/>
      <c r="BD11" s="1127"/>
      <c r="BE11" s="1127"/>
      <c r="BF11" s="1127"/>
      <c r="BG11" s="1125">
        <v>24</v>
      </c>
    </row>
    <row customHeight="1" ht="35.699999999999996">
      <c r="A12" s="905"/>
      <c r="B12" s="905"/>
      <c r="C12" s="905"/>
      <c r="E12" s="908"/>
      <c r="F12" s="2408"/>
      <c r="G12" s="2413"/>
      <c r="H12" s="2414"/>
      <c r="I12" s="1153" t="s">
        <v>89</v>
      </c>
      <c r="J12" s="1153" t="s">
        <v>1010</v>
      </c>
      <c r="K12" s="2127"/>
      <c r="L12" s="2232"/>
      <c r="M12" s="2232"/>
      <c r="N12" s="2127"/>
      <c r="O12" s="2127"/>
      <c r="P12" s="2418"/>
      <c r="Q12" s="2418"/>
      <c r="R12" s="2418"/>
      <c r="S12" s="1134" t="s">
        <v>86</v>
      </c>
      <c r="T12" s="1134" t="s">
        <v>87</v>
      </c>
      <c r="U12" s="1134" t="s">
        <v>85</v>
      </c>
      <c r="V12" s="1134" t="s">
        <v>1011</v>
      </c>
      <c r="W12" s="1134" t="s">
        <v>85</v>
      </c>
      <c r="X12" s="1134" t="s">
        <v>1012</v>
      </c>
      <c r="Y12" s="1134" t="s">
        <v>1013</v>
      </c>
      <c r="Z12" s="2200"/>
      <c r="AA12" s="2201"/>
      <c r="AB12" s="1141" t="s">
        <v>1014</v>
      </c>
      <c r="AC12" s="1141" t="s">
        <v>1015</v>
      </c>
      <c r="AD12" s="1141" t="s">
        <v>1014</v>
      </c>
      <c r="AE12" s="1141" t="s">
        <v>1015</v>
      </c>
      <c r="AF12" s="2232"/>
      <c r="AG12" s="1154" t="s">
        <v>1016</v>
      </c>
      <c r="AH12" s="1154" t="s">
        <v>1017</v>
      </c>
      <c r="AI12" s="2232"/>
      <c r="AJ12" s="1154" t="s">
        <v>1016</v>
      </c>
      <c r="AK12" s="1154" t="s">
        <v>1017</v>
      </c>
      <c r="AL12" s="1142"/>
      <c r="AM12" s="907"/>
      <c r="AN12" s="907"/>
      <c r="AO12" s="907"/>
      <c r="AP12" s="907"/>
      <c r="AQ12" s="907"/>
      <c r="AR12" s="907"/>
      <c r="AS12" s="907"/>
      <c r="AT12" s="907"/>
      <c r="AU12" s="907"/>
      <c r="AV12" s="907"/>
      <c r="AW12" s="907"/>
      <c r="AX12" s="907"/>
      <c r="AY12" s="907"/>
      <c r="AZ12" s="907"/>
      <c r="BA12" s="907"/>
      <c r="BB12" s="907"/>
      <c r="BC12" s="907"/>
      <c r="BD12" s="907"/>
      <c r="BE12" s="907"/>
      <c r="BF12" s="907"/>
      <c r="BG12" s="758">
        <v>34</v>
      </c>
    </row>
    <row customHeight="1" ht="1.05">
      <c r="E13" s="908"/>
      <c r="F13" s="1124">
        <v>0</v>
      </c>
      <c r="G13" s="1124"/>
      <c r="H13" s="1124"/>
      <c r="I13" s="1124"/>
      <c r="J13" s="1124"/>
      <c r="K13" s="1131"/>
      <c r="L13" s="1131"/>
      <c r="M13" s="1131"/>
      <c r="N13" s="1131"/>
      <c r="O13" s="1131"/>
      <c r="P13" s="1131"/>
      <c r="Q13" s="1131"/>
      <c r="R13" s="1131"/>
      <c r="S13" s="1131"/>
      <c r="T13" s="1131"/>
      <c r="U13" s="1131"/>
      <c r="V13" s="1131"/>
      <c r="W13" s="1131"/>
      <c r="X13" s="1131"/>
      <c r="Y13" s="1131"/>
      <c r="Z13" s="1131"/>
      <c r="AA13" s="1131"/>
      <c r="AB13" s="1131"/>
      <c r="AC13" s="1131"/>
      <c r="AD13" s="1131"/>
      <c r="AE13" s="1131"/>
      <c r="AF13" s="1131"/>
      <c r="AG13" s="1131"/>
      <c r="AH13" s="1149"/>
      <c r="AI13" s="1142"/>
      <c r="AJ13" s="1131"/>
      <c r="AK13" s="1131"/>
      <c r="AL13" s="909"/>
      <c r="AM13" s="907"/>
      <c r="AN13" s="907"/>
      <c r="AO13" s="907"/>
      <c r="AP13" s="907"/>
      <c r="AQ13" s="907"/>
      <c r="AR13" s="907"/>
      <c r="AS13" s="907"/>
      <c r="AT13" s="907"/>
      <c r="AU13" s="907"/>
      <c r="AV13" s="907"/>
      <c r="AW13" s="907"/>
      <c r="AX13" s="907"/>
      <c r="AY13" s="907"/>
      <c r="AZ13" s="907"/>
      <c r="BA13" s="907"/>
      <c r="BB13" s="907"/>
      <c r="BC13" s="907"/>
      <c r="BD13" s="907"/>
      <c r="BE13" s="907"/>
      <c r="BF13" s="907"/>
      <c r="BG13" s="758">
        <v>1</v>
      </c>
    </row>
    <row customHeight="1" ht="10.5">
      <c r="E14" s="907"/>
      <c r="F14" s="918"/>
      <c r="G14" s="918"/>
      <c r="H14" s="1172"/>
      <c r="I14" s="918"/>
      <c r="J14" s="918"/>
      <c r="K14" s="918"/>
      <c r="L14" s="1131"/>
      <c r="M14" s="1131"/>
      <c r="N14" s="918"/>
      <c r="O14" s="918"/>
      <c r="P14" s="918"/>
      <c r="Q14" s="918"/>
      <c r="R14" s="918"/>
      <c r="S14" s="918"/>
      <c r="T14" s="918"/>
      <c r="U14" s="918"/>
      <c r="V14" s="918"/>
      <c r="W14" s="918"/>
      <c r="X14" s="918"/>
      <c r="Y14" s="918"/>
      <c r="Z14" s="918"/>
      <c r="AA14" s="918"/>
      <c r="AB14" s="918"/>
      <c r="AC14" s="918"/>
      <c r="AD14" s="1131"/>
      <c r="AE14" s="918"/>
      <c r="AF14" s="918"/>
      <c r="AG14" s="918"/>
      <c r="AH14" s="1149"/>
      <c r="AI14" s="1142"/>
      <c r="AJ14" s="918"/>
      <c r="AK14" s="918"/>
      <c r="AL14" s="907"/>
      <c r="AM14" s="907"/>
      <c r="AN14" s="907"/>
      <c r="AO14" s="907"/>
      <c r="AP14" s="907"/>
      <c r="AQ14" s="907"/>
      <c r="AR14" s="907"/>
      <c r="AS14" s="907"/>
      <c r="AT14" s="907"/>
      <c r="AU14" s="907"/>
      <c r="AV14" s="907"/>
      <c r="AW14" s="907"/>
      <c r="AX14" s="907"/>
      <c r="AY14" s="907"/>
      <c r="AZ14" s="907"/>
      <c r="BA14" s="907"/>
      <c r="BB14" s="907"/>
      <c r="BC14" s="907"/>
      <c r="BD14" s="907"/>
      <c r="BE14" s="907"/>
      <c r="BF14" s="907"/>
      <c r="BG14" s="758">
        <v>10</v>
      </c>
    </row>
    <row customHeight="1" ht="13.5">
      <c r="E15" s="907"/>
      <c r="F15" s="914" t="s">
        <v>1018</v>
      </c>
      <c r="G15" s="914"/>
      <c r="H15" s="1171"/>
      <c r="I15" s="914"/>
      <c r="J15" s="914"/>
      <c r="K15" s="911"/>
      <c r="L15" s="1127"/>
      <c r="M15" s="1127"/>
      <c r="N15" s="913"/>
      <c r="O15" s="913"/>
      <c r="P15" s="913"/>
      <c r="Q15" s="913"/>
      <c r="R15" s="913"/>
      <c r="S15" s="913"/>
      <c r="T15" s="913"/>
      <c r="U15" s="913"/>
      <c r="V15" s="913"/>
      <c r="W15" s="913"/>
      <c r="X15" s="913"/>
      <c r="Y15" s="913"/>
      <c r="Z15" s="911"/>
      <c r="AA15" s="911"/>
      <c r="AB15" s="911"/>
      <c r="AC15" s="911"/>
      <c r="AD15" s="1127"/>
      <c r="AE15" s="911"/>
      <c r="AF15" s="911"/>
      <c r="AG15" s="911"/>
      <c r="AH15" s="1146"/>
      <c r="AI15" s="1139"/>
      <c r="AJ15" s="911"/>
      <c r="AK15" s="911"/>
      <c r="AL15" s="907"/>
      <c r="AM15" s="907"/>
      <c r="AN15" s="907"/>
      <c r="AO15" s="907"/>
      <c r="AP15" s="907"/>
      <c r="AQ15" s="907"/>
      <c r="AR15" s="907"/>
      <c r="AS15" s="907"/>
      <c r="AT15" s="907"/>
      <c r="AU15" s="907"/>
      <c r="AV15" s="907"/>
      <c r="AW15" s="907"/>
      <c r="AX15" s="907"/>
      <c r="AY15" s="907"/>
      <c r="AZ15" s="907"/>
      <c r="BA15" s="907"/>
      <c r="BB15" s="907"/>
      <c r="BC15" s="907"/>
      <c r="BD15" s="907"/>
      <c r="BE15" s="907"/>
      <c r="BF15" s="907"/>
      <c r="BG15" s="758">
        <v>13</v>
      </c>
    </row>
    <row customHeight="1" ht="10.5">
      <c r="BG16" s="758">
        <v>10</v>
      </c>
    </row>
    <row customHeight="1" ht="10.5">
      <c r="E17" s="907"/>
      <c r="F17" s="2407"/>
      <c r="G17" s="2407"/>
      <c r="H17" s="2407"/>
      <c r="I17" s="2407"/>
      <c r="J17" s="2407"/>
      <c r="K17" s="911"/>
      <c r="L17" s="1127"/>
      <c r="M17" s="1127"/>
      <c r="N17" s="913"/>
      <c r="O17" s="913"/>
      <c r="P17" s="913"/>
      <c r="Q17" s="913"/>
      <c r="R17" s="913"/>
      <c r="S17" s="913"/>
      <c r="T17" s="913"/>
      <c r="U17" s="913"/>
      <c r="V17" s="913"/>
      <c r="W17" s="913"/>
      <c r="X17" s="913"/>
      <c r="Y17" s="913"/>
      <c r="Z17" s="911"/>
      <c r="AA17" s="911"/>
      <c r="AB17" s="911"/>
      <c r="AC17" s="911"/>
      <c r="AD17" s="1127"/>
      <c r="AE17" s="911"/>
      <c r="AF17" s="911"/>
      <c r="AG17" s="911"/>
      <c r="AH17" s="1146"/>
      <c r="AI17" s="1139"/>
      <c r="AJ17" s="911"/>
      <c r="AK17" s="911"/>
      <c r="AL17" s="907"/>
      <c r="AM17" s="907"/>
      <c r="AN17" s="907"/>
      <c r="AO17" s="907"/>
      <c r="AP17" s="907"/>
      <c r="AQ17" s="907"/>
      <c r="AR17" s="907"/>
      <c r="AS17" s="907"/>
      <c r="AT17" s="907"/>
      <c r="AU17" s="907"/>
      <c r="AV17" s="907"/>
      <c r="AW17" s="907"/>
      <c r="AX17" s="907"/>
      <c r="AY17" s="907"/>
      <c r="AZ17" s="907"/>
      <c r="BA17" s="907"/>
      <c r="BB17" s="907"/>
      <c r="BC17" s="907"/>
      <c r="BD17" s="907"/>
      <c r="BE17" s="907"/>
      <c r="BF17" s="907"/>
      <c r="BG17" s="758">
        <v>10</v>
      </c>
    </row>
    <row customHeight="1" ht="10.5">
      <c r="E18" s="907"/>
      <c r="F18" s="2407"/>
      <c r="G18" s="2407"/>
      <c r="H18" s="2407"/>
      <c r="I18" s="2407"/>
      <c r="J18" s="2407"/>
      <c r="K18" s="911"/>
      <c r="L18" s="1127"/>
      <c r="M18" s="1127"/>
      <c r="N18" s="913"/>
      <c r="O18" s="913"/>
      <c r="P18" s="913"/>
      <c r="Q18" s="913"/>
      <c r="R18" s="913"/>
      <c r="S18" s="913"/>
      <c r="T18" s="913"/>
      <c r="U18" s="913"/>
      <c r="V18" s="913"/>
      <c r="W18" s="913"/>
      <c r="X18" s="913"/>
      <c r="Y18" s="913"/>
      <c r="Z18" s="911"/>
      <c r="AA18" s="911"/>
      <c r="AB18" s="911"/>
      <c r="AC18" s="911"/>
      <c r="AD18" s="1127"/>
      <c r="AE18" s="911"/>
      <c r="AF18" s="911"/>
      <c r="AG18" s="911"/>
      <c r="AH18" s="1146"/>
      <c r="AI18" s="1139"/>
      <c r="AJ18" s="911"/>
      <c r="AK18" s="911"/>
      <c r="AL18" s="907"/>
      <c r="AM18" s="907"/>
      <c r="AN18" s="907"/>
      <c r="AO18" s="907"/>
      <c r="AP18" s="907"/>
      <c r="AQ18" s="907"/>
      <c r="AR18" s="907"/>
      <c r="AS18" s="907"/>
      <c r="AT18" s="907"/>
      <c r="AU18" s="907"/>
      <c r="AV18" s="907"/>
      <c r="AW18" s="907"/>
      <c r="AX18" s="907"/>
      <c r="AY18" s="907"/>
      <c r="AZ18" s="907"/>
      <c r="BA18" s="907"/>
      <c r="BB18" s="907"/>
      <c r="BC18" s="907"/>
      <c r="BD18" s="907"/>
      <c r="BE18" s="907"/>
      <c r="BF18" s="907"/>
      <c r="BG18" s="758">
        <v>10</v>
      </c>
    </row>
    <row customHeight="1" ht="10.5">
      <c r="E19" s="907"/>
      <c r="F19" s="2407"/>
      <c r="G19" s="2407"/>
      <c r="H19" s="2407"/>
      <c r="I19" s="2407"/>
      <c r="J19" s="2407"/>
      <c r="K19" s="911"/>
      <c r="L19" s="1127"/>
      <c r="M19" s="1127"/>
      <c r="N19" s="913"/>
      <c r="O19" s="913"/>
      <c r="P19" s="913"/>
      <c r="Q19" s="913"/>
      <c r="R19" s="913"/>
      <c r="S19" s="913"/>
      <c r="T19" s="913"/>
      <c r="U19" s="913"/>
      <c r="V19" s="913"/>
      <c r="W19" s="913"/>
      <c r="X19" s="913"/>
      <c r="Y19" s="913"/>
      <c r="Z19" s="911"/>
      <c r="AA19" s="911"/>
      <c r="AB19" s="911"/>
      <c r="AC19" s="911"/>
      <c r="AD19" s="1127"/>
      <c r="AE19" s="911"/>
      <c r="AF19" s="911"/>
      <c r="AG19" s="911"/>
      <c r="AH19" s="1146"/>
      <c r="AI19" s="1139"/>
      <c r="AJ19" s="911"/>
      <c r="AK19" s="911"/>
      <c r="AL19" s="907"/>
      <c r="AM19" s="907"/>
      <c r="AN19" s="907"/>
      <c r="AO19" s="907"/>
      <c r="AP19" s="907"/>
      <c r="AQ19" s="907"/>
      <c r="AR19" s="907"/>
      <c r="AS19" s="907"/>
      <c r="AT19" s="907"/>
      <c r="AU19" s="907"/>
      <c r="AV19" s="907"/>
      <c r="AW19" s="907"/>
      <c r="AX19" s="907"/>
      <c r="AY19" s="907"/>
      <c r="AZ19" s="907"/>
      <c r="BA19" s="907"/>
      <c r="BB19" s="907"/>
      <c r="BC19" s="907"/>
      <c r="BD19" s="907"/>
      <c r="BE19" s="907"/>
      <c r="BF19" s="907"/>
      <c r="BG19" s="758">
        <v>10</v>
      </c>
    </row>
    <row customHeight="1" ht="10.5" hidden="1">
      <c r="A20" s="895" t="s">
        <v>82</v>
      </c>
      <c r="B20" s="895">
        <v>0</v>
      </c>
      <c r="C20" s="895">
        <v>0</v>
      </c>
      <c r="D20" s="417">
        <v>0</v>
      </c>
      <c r="E20" s="509">
        <v>3</v>
      </c>
      <c r="F20" s="758">
        <v>14</v>
      </c>
      <c r="G20" s="758">
        <v>3</v>
      </c>
      <c r="H20" s="1155">
        <v>7</v>
      </c>
      <c r="I20" s="758">
        <v>16</v>
      </c>
      <c r="J20" s="758">
        <v>16</v>
      </c>
      <c r="K20" s="758">
        <v>25</v>
      </c>
      <c r="L20" s="1125">
        <v>7</v>
      </c>
      <c r="M20" s="1125">
        <v>15</v>
      </c>
      <c r="N20" s="758">
        <v>3</v>
      </c>
      <c r="O20" s="758">
        <v>4</v>
      </c>
      <c r="P20" s="758">
        <v>8</v>
      </c>
      <c r="Q20" s="758">
        <v>21</v>
      </c>
      <c r="R20" s="758">
        <v>14</v>
      </c>
      <c r="S20" s="758">
        <v>17</v>
      </c>
      <c r="T20" s="758">
        <v>17</v>
      </c>
      <c r="U20" s="758">
        <v>9</v>
      </c>
      <c r="V20" s="758">
        <v>12</v>
      </c>
      <c r="W20" s="758">
        <v>9</v>
      </c>
      <c r="X20" s="758">
        <v>21</v>
      </c>
      <c r="Y20" s="758">
        <v>12</v>
      </c>
      <c r="Z20" s="758">
        <v>3</v>
      </c>
      <c r="AA20" s="758">
        <v>6</v>
      </c>
      <c r="AB20" s="758">
        <v>38</v>
      </c>
      <c r="AC20" s="758">
        <v>15</v>
      </c>
      <c r="AD20" s="1125">
        <v>0</v>
      </c>
      <c r="AE20" s="758">
        <v>0</v>
      </c>
      <c r="AF20" s="758">
        <v>16</v>
      </c>
      <c r="AG20" s="758">
        <v>16</v>
      </c>
      <c r="AH20" s="1144">
        <v>16</v>
      </c>
      <c r="AI20" s="1137">
        <v>0</v>
      </c>
      <c r="AJ20" s="758">
        <v>0</v>
      </c>
      <c r="AK20" s="758">
        <v>0</v>
      </c>
      <c r="AL20" s="758">
        <v>8</v>
      </c>
      <c r="AM20" s="758">
        <v>8</v>
      </c>
      <c r="AN20" s="758">
        <v>8</v>
      </c>
      <c r="AO20" s="758">
        <v>8</v>
      </c>
      <c r="AP20" s="758">
        <v>8</v>
      </c>
      <c r="AQ20" s="758">
        <v>8</v>
      </c>
      <c r="AR20" s="758">
        <v>8</v>
      </c>
      <c r="AS20" s="758">
        <v>8</v>
      </c>
      <c r="AT20" s="758">
        <v>8</v>
      </c>
      <c r="AU20" s="758">
        <v>8</v>
      </c>
      <c r="AV20" s="758">
        <v>8</v>
      </c>
      <c r="AW20" s="758">
        <v>8</v>
      </c>
      <c r="AX20" s="758">
        <v>8</v>
      </c>
      <c r="AY20" s="758">
        <v>8</v>
      </c>
      <c r="AZ20" s="758">
        <v>8</v>
      </c>
      <c r="BA20" s="758">
        <v>8</v>
      </c>
      <c r="BB20" s="758">
        <v>8</v>
      </c>
      <c r="BC20" s="758">
        <v>8</v>
      </c>
      <c r="BD20" s="758">
        <v>8</v>
      </c>
      <c r="BE20" s="758">
        <v>8</v>
      </c>
      <c r="BF20" s="758">
        <v>8</v>
      </c>
      <c r="BG20" s="758">
        <v>10</v>
      </c>
    </row>
  </sheetData>
  <sheetProtection formatColumns="0" formatRows="0" autoFilter="0" sort="0" insertRows="0" insertColumns="1" deleteRows="0" deleteColumns="0"/>
  <mergeCells count="28">
    <mergeCell ref="AB9:AE10"/>
    <mergeCell ref="S11:Y11"/>
    <mergeCell ref="N10:Y10"/>
    <mergeCell ref="K9:Y9"/>
    <mergeCell ref="N11:O12"/>
    <mergeCell ref="P11:P12"/>
    <mergeCell ref="Q11:Q12"/>
    <mergeCell ref="F19:J19"/>
    <mergeCell ref="F9:F12"/>
    <mergeCell ref="G9:H12"/>
    <mergeCell ref="F6:K6"/>
    <mergeCell ref="F8:AK8"/>
    <mergeCell ref="R11:R12"/>
    <mergeCell ref="L10:M10"/>
    <mergeCell ref="Z9:AA12"/>
    <mergeCell ref="M11:M12"/>
    <mergeCell ref="L11:L12"/>
    <mergeCell ref="AB11:AC11"/>
    <mergeCell ref="AD11:AE11"/>
    <mergeCell ref="AI9:AI12"/>
    <mergeCell ref="AG9:AH11"/>
    <mergeCell ref="AJ9:AK11"/>
    <mergeCell ref="AF9:AF12"/>
    <mergeCell ref="I9:J11"/>
    <mergeCell ref="K10:K12"/>
    <mergeCell ref="F18:J18"/>
    <mergeCell ref="F17:J17"/>
    <mergeCell ref="F5:K5"/>
  </mergeCell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E2A247D-790D-9146-97B3-CA91120B11B1}" mc:Ignorable="x14ac xr xr2 xr3">
  <sheetPr>
    <tabColor theme="9" tint="-0.25"/>
  </sheetPr>
  <dimension ref="A1:W59"/>
  <sheetViews>
    <sheetView showGridLines="0" zoomScale="85" workbookViewId="0">
      <pane xSplit="9" ySplit="13" topLeftCell="J14" activePane="bottomRight" state="frozen"/>
      <selection pane="bottomLeft" activeCell="A14" sqref="A14"/>
      <selection pane="topRight" activeCell="J1" sqref="J1"/>
      <selection pane="bottomRight" activeCell="A1" sqref="A1"/>
    </sheetView>
  </sheetViews>
  <sheetFormatPr defaultColWidth="9.140625" customHeight="1" defaultRowHeight="10.5"/>
  <cols>
    <col min="1" max="3" style="1166" width="4.140625" hidden="1" customWidth="1"/>
    <col min="4" max="4" style="1366" width="4.140625" hidden="1" customWidth="1"/>
    <col min="5" max="5" style="1635" width="3.00390625" customWidth="1"/>
    <col min="6" max="6" style="1635" width="6.00390625" customWidth="1"/>
    <col min="7" max="7" style="1635" width="60.00390625" customWidth="1"/>
    <col min="8" max="9" style="1635" width="21.7109375" hidden="1" customWidth="1"/>
    <col min="10" max="10" style="1635" width="0.140625" customWidth="1"/>
    <col min="11" max="11" style="1635" width="1.00390625" customWidth="1"/>
    <col min="12" max="22" style="1635" width="8.00390625" customWidth="1"/>
    <col min="23" max="23" style="1635" width="9.140625" hidden="1"/>
  </cols>
  <sheetData>
    <row s="1366" customFormat="1" customHeight="1" ht="10.5" hidden="1">
      <c r="A1" s="1166"/>
      <c r="B1" s="1166"/>
      <c r="C1" s="1166"/>
      <c r="E1" s="537"/>
      <c r="W1" s="1160" t="s">
        <v>14</v>
      </c>
    </row>
    <row customHeight="1" ht="10.5" hidden="1">
      <c r="W2" s="1155">
        <v>0</v>
      </c>
    </row>
    <row s="1632" customFormat="1" customHeight="1" ht="10.5" hidden="1">
      <c r="A3" s="1166"/>
      <c r="B3" s="1166"/>
      <c r="C3" s="1166"/>
      <c r="D3" s="1160"/>
      <c r="E3" s="362"/>
      <c r="W3" s="1156">
        <v>0</v>
      </c>
    </row>
    <row customHeight="1" ht="3">
      <c r="W4" s="1155">
        <v>3</v>
      </c>
    </row>
    <row customHeight="1" ht="27.299999999999997">
      <c r="F5" s="2248" t="str">
        <f>IP_NAME_FORM&amp;"
Финансовый план"</f>
        <v>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Финансовый план</v>
      </c>
      <c r="G5" s="2248"/>
      <c r="H5" s="2248"/>
      <c r="I5" s="2248"/>
      <c r="J5" s="2248"/>
      <c r="W5" s="1155">
        <v>26</v>
      </c>
    </row>
    <row customHeight="1" ht="10.5">
      <c r="F6" s="2176" t="str">
        <f>IF(org=0,"Не определено",org)</f>
        <v>ПАО "ОГК-2"</v>
      </c>
      <c r="G6" s="2176"/>
      <c r="H6" s="2176"/>
      <c r="I6" s="2176"/>
      <c r="J6" s="2176"/>
      <c r="W6" s="1155">
        <v>10</v>
      </c>
    </row>
    <row customHeight="1" ht="11.549999999999999">
      <c r="E7" s="1170"/>
      <c r="F7" s="1227"/>
      <c r="G7" s="1227"/>
      <c r="H7" s="1227"/>
      <c r="I7" s="1227"/>
      <c r="J7" s="1227"/>
      <c r="K7" s="1157"/>
      <c r="L7" s="1157"/>
      <c r="M7" s="1157"/>
      <c r="N7" s="1157"/>
      <c r="O7" s="1157"/>
      <c r="P7" s="1157"/>
      <c r="Q7" s="1157"/>
      <c r="R7" s="1157"/>
      <c r="S7" s="1157"/>
      <c r="T7" s="1157"/>
      <c r="U7" s="1157"/>
      <c r="V7" s="1157"/>
      <c r="W7" s="1155">
        <v>11</v>
      </c>
    </row>
    <row s="1642" customFormat="1" customHeight="1" ht="4.2">
      <c r="A8" s="1167"/>
      <c r="B8" s="1167"/>
      <c r="C8" s="1167"/>
      <c r="E8" s="1228"/>
      <c r="F8" s="1229"/>
      <c r="G8" s="1229"/>
      <c r="H8" s="1229"/>
      <c r="I8" s="1229"/>
      <c r="J8" s="1229"/>
      <c r="K8" s="1228"/>
      <c r="L8" s="1228"/>
      <c r="M8" s="1228"/>
      <c r="N8" s="1228"/>
      <c r="O8" s="1228"/>
      <c r="P8" s="1228"/>
      <c r="Q8" s="1228"/>
      <c r="R8" s="1228"/>
      <c r="S8" s="1228"/>
      <c r="T8" s="1228"/>
      <c r="U8" s="1228"/>
      <c r="V8" s="1228"/>
      <c r="W8" s="511">
        <v>4</v>
      </c>
    </row>
    <row customHeight="1" ht="10.5">
      <c r="E9" s="1170"/>
      <c r="F9" s="2419" t="s">
        <v>302</v>
      </c>
      <c r="G9" s="2420"/>
      <c r="H9" s="2420"/>
      <c r="I9" s="2420"/>
      <c r="J9" s="2420"/>
      <c r="K9" s="1240"/>
      <c r="L9" s="1157"/>
      <c r="M9" s="1157"/>
      <c r="N9" s="1157"/>
      <c r="O9" s="1157"/>
      <c r="P9" s="1157"/>
      <c r="Q9" s="1157"/>
      <c r="R9" s="1157"/>
      <c r="S9" s="1157"/>
      <c r="T9" s="1157"/>
      <c r="U9" s="1157"/>
      <c r="V9" s="1157"/>
      <c r="W9" s="1155">
        <v>10</v>
      </c>
    </row>
    <row customHeight="1" ht="25.2">
      <c r="E10" s="1157"/>
      <c r="F10" s="2423" t="s">
        <v>88</v>
      </c>
      <c r="G10" s="2428" t="s">
        <v>1019</v>
      </c>
      <c r="H10" s="2426" t="s">
        <v>1020</v>
      </c>
      <c r="I10" s="2426"/>
      <c r="J10" s="2426"/>
      <c r="K10" s="1233"/>
      <c r="L10" s="1157"/>
      <c r="M10" s="1157"/>
      <c r="N10" s="1157"/>
      <c r="O10" s="1157"/>
      <c r="P10" s="1157"/>
      <c r="Q10" s="1157"/>
      <c r="R10" s="1157"/>
      <c r="S10" s="1157"/>
      <c r="T10" s="1157"/>
      <c r="U10" s="1157"/>
      <c r="V10" s="1157"/>
      <c r="W10" s="1155">
        <v>24</v>
      </c>
    </row>
    <row customHeight="1" ht="25.5">
      <c r="E11" s="1157"/>
      <c r="F11" s="2424"/>
      <c r="G11" s="2428"/>
      <c r="H11" s="2427">
        <f>INDEX(IP_MAIN_LIST_NAME_IP,MATCH(H8,IP_MAIN_LIST_IP_ID,0))&amp;" ("&amp;INDEX(IP_MAIN_START_DATE,MATCH(H8,IP_MAIN_LIST_IP_ID,0))&amp;"-"&amp;INDEX(IP_MAIN_END_DATE,MATCH(H8,IP_MAIN_LIST_IP_ID,0))&amp;")"</f>
      </c>
      <c r="I11" s="2427"/>
      <c r="J11" s="2427"/>
      <c r="K11" s="1233"/>
      <c r="L11" s="1157"/>
      <c r="M11" s="1157"/>
      <c r="N11" s="1157"/>
      <c r="O11" s="1157"/>
      <c r="P11" s="1157"/>
      <c r="Q11" s="1157"/>
      <c r="R11" s="1157"/>
      <c r="S11" s="1157"/>
      <c r="T11" s="1157"/>
      <c r="U11" s="1157"/>
      <c r="V11" s="1157"/>
      <c r="W11" s="1155">
        <v>24</v>
      </c>
    </row>
    <row customHeight="1" ht="10.5">
      <c r="F12" s="2425"/>
      <c r="G12" s="2428"/>
      <c r="H12" s="1226" t="s">
        <v>1021</v>
      </c>
      <c r="I12" s="1232"/>
      <c r="J12" s="1226"/>
      <c r="K12" s="1234"/>
      <c r="W12" s="1155">
        <v>10</v>
      </c>
    </row>
    <row customHeight="1" ht="10.5" hidden="1">
      <c r="F13" s="1226">
        <v>1</v>
      </c>
      <c r="G13" s="1226">
        <v>2</v>
      </c>
      <c r="H13" s="1226">
        <v>3</v>
      </c>
      <c r="I13" s="1226">
        <v>4</v>
      </c>
      <c r="J13" s="1226">
        <v>5</v>
      </c>
      <c r="K13" s="1234"/>
      <c r="W13" s="1155">
        <v>0</v>
      </c>
    </row>
    <row customHeight="1" ht="11.549999999999999">
      <c r="F14" s="1225" t="s">
        <v>1022</v>
      </c>
      <c r="G14" s="2421" t="s">
        <v>1023</v>
      </c>
      <c r="H14" s="2421"/>
      <c r="I14" s="2421"/>
      <c r="J14" s="2421"/>
      <c r="K14" s="1234"/>
      <c r="W14" s="1155">
        <v>11</v>
      </c>
    </row>
    <row customHeight="1" ht="11.549999999999999">
      <c r="F15" s="1230">
        <v>1</v>
      </c>
      <c r="G15" s="690" t="s">
        <v>1024</v>
      </c>
      <c r="H15" s="1236">
        <f>SUM(I15:J15)</f>
        <v>0</v>
      </c>
      <c r="I15" s="1236">
        <f>SUM(I16:I27)</f>
        <v>0</v>
      </c>
      <c r="J15" s="1225"/>
      <c r="K15" s="1234"/>
      <c r="W15" s="1155">
        <v>11</v>
      </c>
    </row>
    <row customHeight="1" ht="24">
      <c r="F16" s="1230" t="s">
        <v>1025</v>
      </c>
      <c r="G16" s="1237" t="s">
        <v>1026</v>
      </c>
      <c r="H16" s="1236">
        <f>SUM(I16:J16)</f>
        <v>0</v>
      </c>
      <c r="I16" s="1235"/>
      <c r="J16" s="1225"/>
      <c r="K16" s="1234"/>
      <c r="W16" s="1155">
        <v>23</v>
      </c>
    </row>
    <row customHeight="1" ht="24">
      <c r="F17" s="1230" t="s">
        <v>1027</v>
      </c>
      <c r="G17" s="1237" t="s">
        <v>1028</v>
      </c>
      <c r="H17" s="1236">
        <f>SUM(I17:J17)</f>
        <v>0</v>
      </c>
      <c r="I17" s="1235"/>
      <c r="J17" s="1225"/>
      <c r="K17" s="1234"/>
      <c r="W17" s="1155">
        <v>23</v>
      </c>
    </row>
    <row customHeight="1" ht="35.699999999999996">
      <c r="F18" s="1230" t="s">
        <v>1029</v>
      </c>
      <c r="G18" s="1237" t="s">
        <v>1030</v>
      </c>
      <c r="H18" s="1236">
        <f>SUM(I18:J18)</f>
        <v>0</v>
      </c>
      <c r="I18" s="1235"/>
      <c r="J18" s="1225"/>
      <c r="K18" s="1234"/>
      <c r="W18" s="1155">
        <v>34</v>
      </c>
    </row>
    <row customHeight="1" ht="35.699999999999996">
      <c r="F19" s="1230" t="s">
        <v>1031</v>
      </c>
      <c r="G19" s="1237" t="s">
        <v>1032</v>
      </c>
      <c r="H19" s="1236">
        <f>SUM(I19:J19)</f>
        <v>0</v>
      </c>
      <c r="I19" s="1235"/>
      <c r="J19" s="1225"/>
      <c r="K19" s="1234"/>
      <c r="W19" s="1155">
        <v>34</v>
      </c>
    </row>
    <row customHeight="1" ht="48.29999999999999">
      <c r="F20" s="1230" t="s">
        <v>1033</v>
      </c>
      <c r="G20" s="1237" t="s">
        <v>1034</v>
      </c>
      <c r="H20" s="1236">
        <f>SUM(I20:J20)</f>
        <v>0</v>
      </c>
      <c r="I20" s="1235"/>
      <c r="J20" s="1225"/>
      <c r="K20" s="1234"/>
      <c r="W20" s="1155">
        <v>46</v>
      </c>
    </row>
    <row customHeight="1" ht="35.699999999999996">
      <c r="F21" s="1230" t="s">
        <v>1035</v>
      </c>
      <c r="G21" s="1237" t="s">
        <v>1036</v>
      </c>
      <c r="H21" s="1236">
        <f>SUM(I21:J21)</f>
        <v>0</v>
      </c>
      <c r="I21" s="1235"/>
      <c r="J21" s="1225"/>
      <c r="K21" s="1234"/>
      <c r="W21" s="1155">
        <v>34</v>
      </c>
    </row>
    <row customHeight="1" ht="35.699999999999996">
      <c r="F22" s="1230" t="s">
        <v>1037</v>
      </c>
      <c r="G22" s="1237" t="s">
        <v>1038</v>
      </c>
      <c r="H22" s="1236">
        <f>SUM(I22:J22)</f>
        <v>0</v>
      </c>
      <c r="I22" s="1235"/>
      <c r="J22" s="1225"/>
      <c r="K22" s="1234"/>
      <c r="W22" s="1155">
        <v>34</v>
      </c>
    </row>
    <row customHeight="1" ht="24">
      <c r="F23" s="1230" t="s">
        <v>1039</v>
      </c>
      <c r="G23" s="1237" t="s">
        <v>1040</v>
      </c>
      <c r="H23" s="1236">
        <f>SUM(I23:J23)</f>
        <v>0</v>
      </c>
      <c r="I23" s="1235"/>
      <c r="J23" s="1225"/>
      <c r="K23" s="1234"/>
      <c r="W23" s="1155">
        <v>23</v>
      </c>
    </row>
    <row customHeight="1" ht="24">
      <c r="F24" s="1230" t="s">
        <v>1041</v>
      </c>
      <c r="G24" s="1237" t="s">
        <v>1042</v>
      </c>
      <c r="H24" s="1236">
        <f>SUM(I24:J24)</f>
        <v>0</v>
      </c>
      <c r="I24" s="1235"/>
      <c r="J24" s="1225"/>
      <c r="K24" s="1234"/>
      <c r="W24" s="1155">
        <v>23</v>
      </c>
    </row>
    <row customHeight="1" ht="35.699999999999996">
      <c r="F25" s="1230" t="s">
        <v>1043</v>
      </c>
      <c r="G25" s="1237" t="s">
        <v>1044</v>
      </c>
      <c r="H25" s="1236">
        <f>SUM(I25:J25)</f>
        <v>0</v>
      </c>
      <c r="I25" s="1235"/>
      <c r="J25" s="1225"/>
      <c r="K25" s="1234"/>
      <c r="W25" s="1155">
        <v>34</v>
      </c>
    </row>
    <row customHeight="1" ht="35.699999999999996">
      <c r="F26" s="1230" t="s">
        <v>1045</v>
      </c>
      <c r="G26" s="1237" t="s">
        <v>1046</v>
      </c>
      <c r="H26" s="1236">
        <f>SUM(I26:J26)</f>
        <v>0</v>
      </c>
      <c r="I26" s="1235"/>
      <c r="J26" s="1225"/>
      <c r="K26" s="1234"/>
      <c r="W26" s="1155">
        <v>34</v>
      </c>
    </row>
    <row customHeight="1" ht="11.549999999999999">
      <c r="F27" s="1230" t="s">
        <v>1047</v>
      </c>
      <c r="G27" s="1237" t="s">
        <v>1048</v>
      </c>
      <c r="H27" s="1236">
        <f>SUM(I27:J27)</f>
        <v>0</v>
      </c>
      <c r="I27" s="1235"/>
      <c r="J27" s="1225"/>
      <c r="K27" s="1234"/>
      <c r="W27" s="1155">
        <v>11</v>
      </c>
    </row>
    <row customHeight="1" ht="11.549999999999999">
      <c r="F28" s="1230">
        <v>2</v>
      </c>
      <c r="G28" s="690" t="s">
        <v>1049</v>
      </c>
      <c r="H28" s="1236">
        <f>SUM(I28:J28)</f>
        <v>0</v>
      </c>
      <c r="I28" s="1236">
        <f>SUM(I29:I31)</f>
        <v>0</v>
      </c>
      <c r="J28" s="1225"/>
      <c r="K28" s="1234"/>
      <c r="W28" s="1155">
        <v>11</v>
      </c>
    </row>
    <row customHeight="1" ht="11.549999999999999">
      <c r="F29" s="1230" t="s">
        <v>711</v>
      </c>
      <c r="G29" s="1237" t="s">
        <v>1050</v>
      </c>
      <c r="H29" s="1236">
        <f>SUM(I29:J29)</f>
        <v>0</v>
      </c>
      <c r="I29" s="1235"/>
      <c r="J29" s="1225"/>
      <c r="K29" s="1234"/>
      <c r="W29" s="1155">
        <v>11</v>
      </c>
    </row>
    <row customHeight="1" ht="11.549999999999999">
      <c r="F30" s="1230" t="s">
        <v>309</v>
      </c>
      <c r="G30" s="1237" t="s">
        <v>1051</v>
      </c>
      <c r="H30" s="1236">
        <f>SUM(I30:J30)</f>
        <v>0</v>
      </c>
      <c r="I30" s="1235"/>
      <c r="J30" s="1225"/>
      <c r="K30" s="1234"/>
      <c r="W30" s="1155">
        <v>11</v>
      </c>
    </row>
    <row customHeight="1" ht="11.549999999999999">
      <c r="F31" s="1230" t="s">
        <v>312</v>
      </c>
      <c r="G31" s="1237" t="s">
        <v>1052</v>
      </c>
      <c r="H31" s="1236">
        <f>SUM(I31:J31)</f>
        <v>0</v>
      </c>
      <c r="I31" s="1235"/>
      <c r="J31" s="1225"/>
      <c r="K31" s="1234"/>
      <c r="W31" s="1155">
        <v>11</v>
      </c>
    </row>
    <row customHeight="1" ht="11.549999999999999">
      <c r="F32" s="1230">
        <v>3</v>
      </c>
      <c r="G32" s="690" t="s">
        <v>1053</v>
      </c>
      <c r="H32" s="1236">
        <f>SUM(I32:J32)</f>
        <v>0</v>
      </c>
      <c r="I32" s="1236">
        <f>SUM(I33:I34)</f>
        <v>0</v>
      </c>
      <c r="J32" s="1225"/>
      <c r="K32" s="1234"/>
      <c r="W32" s="1155">
        <v>11</v>
      </c>
    </row>
    <row customHeight="1" ht="48.29999999999999">
      <c r="F33" s="1230" t="s">
        <v>326</v>
      </c>
      <c r="G33" s="1237" t="s">
        <v>1054</v>
      </c>
      <c r="H33" s="1236">
        <f>SUM(I33:J33)</f>
        <v>0</v>
      </c>
      <c r="I33" s="1235"/>
      <c r="J33" s="1225"/>
      <c r="K33" s="1234"/>
      <c r="W33" s="1155">
        <v>46</v>
      </c>
    </row>
    <row customHeight="1" ht="11.549999999999999">
      <c r="F34" s="1230" t="s">
        <v>334</v>
      </c>
      <c r="G34" s="1237" t="s">
        <v>1055</v>
      </c>
      <c r="H34" s="1236">
        <f>SUM(I34:J34)</f>
        <v>0</v>
      </c>
      <c r="I34" s="1235"/>
      <c r="J34" s="1225"/>
      <c r="K34" s="1234"/>
      <c r="W34" s="1155">
        <v>11</v>
      </c>
    </row>
    <row customHeight="1" ht="11.549999999999999">
      <c r="F35" s="1230">
        <v>4</v>
      </c>
      <c r="G35" s="690" t="s">
        <v>1056</v>
      </c>
      <c r="H35" s="1236">
        <f>SUM(I35:J35)</f>
        <v>0</v>
      </c>
      <c r="I35" s="1235"/>
      <c r="J35" s="1225"/>
      <c r="K35" s="1234"/>
      <c r="W35" s="1155">
        <v>11</v>
      </c>
    </row>
    <row customHeight="1" ht="11.549999999999999">
      <c r="F36" s="1230"/>
      <c r="G36" s="693" t="s">
        <v>1057</v>
      </c>
      <c r="H36" s="1236">
        <f>SUM(I36:J36)</f>
        <v>0</v>
      </c>
      <c r="I36" s="1236">
        <f>SUM(I15,I28,I32,I35)</f>
        <v>0</v>
      </c>
      <c r="J36" s="1225"/>
      <c r="K36" s="1234"/>
      <c r="W36" s="1155">
        <v>11</v>
      </c>
    </row>
    <row customHeight="1" ht="29.25">
      <c r="F37" s="1231" t="s">
        <v>1058</v>
      </c>
      <c r="G37" s="2422" t="s">
        <v>1059</v>
      </c>
      <c r="H37" s="2422"/>
      <c r="I37" s="2422"/>
      <c r="J37" s="2422"/>
      <c r="K37" s="1234"/>
      <c r="W37" s="1155">
        <v>28</v>
      </c>
    </row>
    <row customHeight="1" ht="24">
      <c r="F38" s="1230" t="s">
        <v>109</v>
      </c>
      <c r="G38" s="690" t="s">
        <v>1060</v>
      </c>
      <c r="H38" s="1236">
        <f>SUM(I38:J38)</f>
        <v>0</v>
      </c>
      <c r="I38" s="1236">
        <f>SUM(I39,I44,I47)</f>
        <v>0</v>
      </c>
      <c r="J38" s="1225"/>
      <c r="K38" s="1234"/>
      <c r="W38" s="1155">
        <v>23</v>
      </c>
    </row>
    <row customHeight="1" ht="11.549999999999999">
      <c r="F39" s="1230" t="s">
        <v>1025</v>
      </c>
      <c r="G39" s="1237" t="s">
        <v>1024</v>
      </c>
      <c r="H39" s="1236">
        <f>SUM(I39:J39)</f>
        <v>0</v>
      </c>
      <c r="I39" s="1236">
        <f>SUM(I40:I43)</f>
        <v>0</v>
      </c>
      <c r="J39" s="1225"/>
      <c r="K39" s="1234"/>
      <c r="W39" s="1155">
        <v>11</v>
      </c>
    </row>
    <row customHeight="1" ht="24">
      <c r="F40" s="1230" t="s">
        <v>1061</v>
      </c>
      <c r="G40" s="1238" t="s">
        <v>1062</v>
      </c>
      <c r="H40" s="1236">
        <f>SUM(I40:J40)</f>
        <v>0</v>
      </c>
      <c r="I40" s="1235"/>
      <c r="J40" s="1225"/>
      <c r="K40" s="1234"/>
      <c r="W40" s="1155">
        <v>23</v>
      </c>
    </row>
    <row customHeight="1" ht="11.549999999999999">
      <c r="F41" s="1230" t="s">
        <v>1063</v>
      </c>
      <c r="G41" s="1238" t="s">
        <v>1064</v>
      </c>
      <c r="H41" s="1236">
        <f>SUM(I41:J41)</f>
        <v>0</v>
      </c>
      <c r="I41" s="1235"/>
      <c r="J41" s="1225"/>
      <c r="K41" s="1234"/>
      <c r="W41" s="1155">
        <v>11</v>
      </c>
    </row>
    <row customHeight="1" ht="11.549999999999999">
      <c r="F42" s="1230" t="s">
        <v>1065</v>
      </c>
      <c r="G42" s="1238" t="s">
        <v>1066</v>
      </c>
      <c r="H42" s="1236">
        <f>SUM(I42:J42)</f>
        <v>0</v>
      </c>
      <c r="I42" s="1235"/>
      <c r="J42" s="1225"/>
      <c r="K42" s="1234"/>
      <c r="W42" s="1155">
        <v>11</v>
      </c>
    </row>
    <row customHeight="1" ht="35.699999999999996">
      <c r="F43" s="1230" t="s">
        <v>1067</v>
      </c>
      <c r="G43" s="1238" t="s">
        <v>1068</v>
      </c>
      <c r="H43" s="1236">
        <f>SUM(I43:J43)</f>
        <v>0</v>
      </c>
      <c r="I43" s="1235"/>
      <c r="J43" s="1225"/>
      <c r="K43" s="1234"/>
      <c r="W43" s="1155">
        <v>34</v>
      </c>
    </row>
    <row customHeight="1" ht="11.549999999999999">
      <c r="F44" s="1230" t="s">
        <v>1027</v>
      </c>
      <c r="G44" s="1237" t="s">
        <v>1053</v>
      </c>
      <c r="H44" s="1236">
        <f>SUM(I44:J44)</f>
        <v>0</v>
      </c>
      <c r="I44" s="1236">
        <f>SUM(I45:I46)</f>
        <v>0</v>
      </c>
      <c r="J44" s="1225"/>
      <c r="K44" s="1234"/>
      <c r="W44" s="1155">
        <v>11</v>
      </c>
    </row>
    <row customHeight="1" ht="48.29999999999999">
      <c r="F45" s="1230" t="s">
        <v>1069</v>
      </c>
      <c r="G45" s="1238" t="s">
        <v>1054</v>
      </c>
      <c r="H45" s="1236">
        <f>SUM(I45:J45)</f>
        <v>0</v>
      </c>
      <c r="I45" s="1235"/>
      <c r="J45" s="1225"/>
      <c r="K45" s="1234"/>
      <c r="W45" s="1155">
        <v>46</v>
      </c>
    </row>
    <row customHeight="1" ht="11.549999999999999">
      <c r="F46" s="1230" t="s">
        <v>1070</v>
      </c>
      <c r="G46" s="1238" t="s">
        <v>1055</v>
      </c>
      <c r="H46" s="1236">
        <f>SUM(I46:J46)</f>
        <v>0</v>
      </c>
      <c r="I46" s="1235"/>
      <c r="J46" s="1225"/>
      <c r="K46" s="1234"/>
      <c r="W46" s="1155">
        <v>11</v>
      </c>
    </row>
    <row customHeight="1" ht="11.549999999999999">
      <c r="F47" s="1230" t="s">
        <v>1029</v>
      </c>
      <c r="G47" s="1237" t="s">
        <v>1071</v>
      </c>
      <c r="H47" s="1236">
        <f>SUM(I47:J47)</f>
        <v>0</v>
      </c>
      <c r="I47" s="1235"/>
      <c r="J47" s="1225"/>
      <c r="K47" s="1234"/>
      <c r="W47" s="1155">
        <v>11</v>
      </c>
    </row>
    <row customHeight="1" ht="24">
      <c r="F48" s="1230" t="s">
        <v>110</v>
      </c>
      <c r="G48" s="690" t="s">
        <v>1072</v>
      </c>
      <c r="H48" s="1236">
        <f>SUM(I48:J48)</f>
        <v>0</v>
      </c>
      <c r="I48" s="1236">
        <f>SUM(I49,I54,I57)</f>
        <v>0</v>
      </c>
      <c r="J48" s="1225"/>
      <c r="K48" s="1234"/>
      <c r="W48" s="1155">
        <v>23</v>
      </c>
    </row>
    <row customHeight="1" ht="11.549999999999999">
      <c r="F49" s="1230" t="s">
        <v>711</v>
      </c>
      <c r="G49" s="1237" t="s">
        <v>1024</v>
      </c>
      <c r="H49" s="1236">
        <f>SUM(I49:J49)</f>
        <v>0</v>
      </c>
      <c r="I49" s="1236">
        <f>SUM(I50:I53)</f>
        <v>0</v>
      </c>
      <c r="J49" s="1225"/>
      <c r="K49" s="1234"/>
      <c r="W49" s="1155">
        <v>11</v>
      </c>
    </row>
    <row customHeight="1" ht="24">
      <c r="F50" s="1230" t="s">
        <v>714</v>
      </c>
      <c r="G50" s="1238" t="s">
        <v>1062</v>
      </c>
      <c r="H50" s="1236">
        <f>SUM(I50:J50)</f>
        <v>0</v>
      </c>
      <c r="I50" s="1235"/>
      <c r="J50" s="1225"/>
      <c r="K50" s="1234"/>
      <c r="W50" s="1155">
        <v>23</v>
      </c>
    </row>
    <row customHeight="1" ht="11.549999999999999">
      <c r="F51" s="1230" t="s">
        <v>717</v>
      </c>
      <c r="G51" s="1238" t="s">
        <v>1064</v>
      </c>
      <c r="H51" s="1236">
        <f>SUM(I51:J51)</f>
        <v>0</v>
      </c>
      <c r="I51" s="1235"/>
      <c r="J51" s="1225"/>
      <c r="K51" s="1234"/>
      <c r="W51" s="1155">
        <v>11</v>
      </c>
    </row>
    <row customHeight="1" ht="11.549999999999999">
      <c r="F52" s="1230" t="s">
        <v>1073</v>
      </c>
      <c r="G52" s="1238" t="s">
        <v>1066</v>
      </c>
      <c r="H52" s="1236">
        <f>SUM(I52:J52)</f>
        <v>0</v>
      </c>
      <c r="I52" s="1235"/>
      <c r="J52" s="1225"/>
      <c r="K52" s="1234"/>
      <c r="W52" s="1155">
        <v>11</v>
      </c>
    </row>
    <row customHeight="1" ht="35.699999999999996">
      <c r="F53" s="1230" t="s">
        <v>1074</v>
      </c>
      <c r="G53" s="1238" t="s">
        <v>1068</v>
      </c>
      <c r="H53" s="1236">
        <f>SUM(I53:J53)</f>
        <v>0</v>
      </c>
      <c r="I53" s="1235"/>
      <c r="J53" s="1225"/>
      <c r="K53" s="1234"/>
      <c r="W53" s="1155">
        <v>34</v>
      </c>
    </row>
    <row customHeight="1" ht="11.549999999999999">
      <c r="F54" s="1230" t="s">
        <v>309</v>
      </c>
      <c r="G54" s="1237" t="s">
        <v>1053</v>
      </c>
      <c r="H54" s="1236">
        <f>SUM(I54:J54)</f>
        <v>0</v>
      </c>
      <c r="I54" s="1236">
        <f>SUM(I55:I56)</f>
        <v>0</v>
      </c>
      <c r="J54" s="1225"/>
      <c r="K54" s="1234"/>
      <c r="W54" s="1155">
        <v>11</v>
      </c>
    </row>
    <row customHeight="1" ht="48.29999999999999">
      <c r="F55" s="1230" t="s">
        <v>721</v>
      </c>
      <c r="G55" s="1238" t="s">
        <v>1054</v>
      </c>
      <c r="H55" s="1236">
        <f>SUM(I55:J55)</f>
        <v>0</v>
      </c>
      <c r="I55" s="1235"/>
      <c r="J55" s="1225"/>
      <c r="K55" s="1234"/>
      <c r="W55" s="1155">
        <v>46</v>
      </c>
    </row>
    <row customHeight="1" ht="11.549999999999999">
      <c r="F56" s="1230" t="s">
        <v>723</v>
      </c>
      <c r="G56" s="1238" t="s">
        <v>1055</v>
      </c>
      <c r="H56" s="1236">
        <f>SUM(I56:J56)</f>
        <v>0</v>
      </c>
      <c r="I56" s="1235"/>
      <c r="J56" s="1225"/>
      <c r="K56" s="1234"/>
      <c r="W56" s="1155">
        <v>11</v>
      </c>
    </row>
    <row customHeight="1" ht="11.549999999999999">
      <c r="F57" s="1230" t="s">
        <v>312</v>
      </c>
      <c r="G57" s="1237" t="s">
        <v>1071</v>
      </c>
      <c r="H57" s="1236">
        <f>SUM(I57:J57)</f>
        <v>0</v>
      </c>
      <c r="I57" s="1235"/>
      <c r="J57" s="1225"/>
      <c r="K57" s="1234"/>
      <c r="W57" s="1155">
        <v>11</v>
      </c>
    </row>
    <row customHeight="1" ht="11.549999999999999">
      <c r="F58" s="1230"/>
      <c r="G58" s="1239" t="s">
        <v>1057</v>
      </c>
      <c r="H58" s="1236">
        <f>SUM(I58:J58)</f>
        <v>0</v>
      </c>
      <c r="I58" s="1236">
        <f>SUM(I38,I48)</f>
        <v>0</v>
      </c>
      <c r="J58" s="1225"/>
      <c r="K58" s="1234"/>
      <c r="W58" s="1155">
        <v>11</v>
      </c>
    </row>
    <row customHeight="1" ht="10.5" hidden="1">
      <c r="A59" s="1166" t="s">
        <v>82</v>
      </c>
      <c r="B59" s="1166">
        <v>0</v>
      </c>
      <c r="C59" s="1166">
        <v>0</v>
      </c>
      <c r="D59" s="1160">
        <v>0</v>
      </c>
      <c r="E59" s="509">
        <v>3</v>
      </c>
      <c r="F59" s="1155">
        <v>6</v>
      </c>
      <c r="G59" s="1155">
        <v>60</v>
      </c>
      <c r="H59" s="1155">
        <v>0</v>
      </c>
      <c r="I59" s="1155">
        <v>0</v>
      </c>
      <c r="J59" s="1155">
        <v>0</v>
      </c>
      <c r="K59" s="1155">
        <v>1</v>
      </c>
      <c r="L59" s="1155">
        <v>8</v>
      </c>
      <c r="M59" s="1155">
        <v>8</v>
      </c>
      <c r="N59" s="1155">
        <v>8</v>
      </c>
      <c r="O59" s="1155">
        <v>8</v>
      </c>
      <c r="P59" s="1155">
        <v>8</v>
      </c>
      <c r="Q59" s="1155">
        <v>8</v>
      </c>
      <c r="R59" s="1155">
        <v>8</v>
      </c>
      <c r="S59" s="1155">
        <v>8</v>
      </c>
      <c r="T59" s="1155">
        <v>8</v>
      </c>
      <c r="U59" s="1155">
        <v>8</v>
      </c>
      <c r="V59" s="1155">
        <v>8</v>
      </c>
      <c r="W59" s="1155">
        <v>10</v>
      </c>
    </row>
  </sheetData>
  <sheetProtection formatColumns="0" formatRows="0" autoFilter="0" sort="0" insertRows="0" insertColumns="1" deleteRows="0" deleteColumns="0"/>
  <mergeCells count="9">
    <mergeCell ref="F5:J5"/>
    <mergeCell ref="F6:J6"/>
    <mergeCell ref="F9:J9"/>
    <mergeCell ref="G14:J14"/>
    <mergeCell ref="G37:J37"/>
    <mergeCell ref="F10:F12"/>
    <mergeCell ref="H10:J10"/>
    <mergeCell ref="H11:J11"/>
    <mergeCell ref="G10:G12"/>
  </mergeCells>
  <dataValidations count="1">
    <dataValidation type="decimal" allowBlank="1" showErrorMessage="1" errorTitle="Ошибка" error="Допускается ввод только неотрицательных чисел!" sqref="I29:I31 I33:I35 I40:I43 I45:I47 I50:I53 I55:I57 I16:I27">
      <formula1>0</formula1>
      <formula2>9.99999999999999E+23</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B084A56-DD08-4C1C-1EAE-337A41256363}" mc:Ignorable="x14ac xr xr2 xr3">
  <sheetPr>
    <tabColor theme="9" tint="-0.25"/>
  </sheetPr>
  <dimension ref="A1:GC25"/>
  <sheetViews>
    <sheetView showGridLines="0" zoomScale="90" workbookViewId="0">
      <pane xSplit="14" ySplit="17" topLeftCell="O18" activePane="bottomRight" state="frozen"/>
      <selection pane="bottomLeft" activeCell="A18" sqref="A18"/>
      <selection pane="topRight" activeCell="O1" sqref="O1"/>
      <selection pane="bottomRight" activeCell="A1" sqref="A1"/>
    </sheetView>
  </sheetViews>
  <sheetFormatPr defaultColWidth="9.140625" customHeight="1" defaultRowHeight="12"/>
  <cols>
    <col min="1" max="1" style="1063" width="4.7109375" hidden="1" customWidth="1"/>
    <col min="2" max="2" style="936" width="4.7109375" hidden="1" customWidth="1"/>
    <col min="3" max="4" style="1063" width="4.7109375" hidden="1" customWidth="1"/>
    <col min="5" max="5" style="1063" width="3.00390625" customWidth="1"/>
    <col min="6" max="6" style="1063" width="6.00390625" customWidth="1"/>
    <col min="7" max="7" style="1063" width="18.00390625" customWidth="1"/>
    <col min="8" max="8" style="1063" width="27.00390625" customWidth="1"/>
    <col min="9" max="9" style="1063" width="18.00390625" customWidth="1"/>
    <col min="10" max="14" style="1063" width="0.8515625" hidden="1" customWidth="1"/>
    <col min="15" max="28" style="1063" width="21.7109375" customWidth="1"/>
    <col min="29" max="71" style="1063" width="0.8515625" customWidth="1"/>
    <col min="72" max="79" style="1063" width="21.7109375" hidden="1" customWidth="1"/>
    <col min="80" max="81" style="1063" width="29.140625" hidden="1" customWidth="1"/>
    <col min="82" max="89" style="1063" width="21.7109375" hidden="1" customWidth="1"/>
    <col min="90" max="102" style="1063" width="0.7109375" hidden="1" customWidth="1"/>
    <col min="103" max="114" style="1063" width="21.7109375" hidden="1" customWidth="1"/>
    <col min="115" max="178" style="1063" width="0.7109375" hidden="1" customWidth="1"/>
    <col min="179" max="179" style="1063" width="0.140625" customWidth="1"/>
    <col min="180" max="184" style="1063" width="8.00390625" customWidth="1"/>
    <col min="185" max="185" style="1063" width="9.140625" hidden="1"/>
  </cols>
  <sheetData>
    <row s="925" customFormat="1" customHeight="1" ht="12" hidden="1">
      <c r="B1" s="923"/>
      <c r="C1" s="924"/>
      <c r="D1" s="924"/>
      <c r="GC1" s="922" t="s">
        <v>14</v>
      </c>
    </row>
    <row s="925" customFormat="1" customHeight="1" ht="12" hidden="1">
      <c r="B2" s="923"/>
      <c r="C2" s="924"/>
      <c r="D2" s="924"/>
      <c r="E2" s="924"/>
      <c r="F2" s="924"/>
      <c r="G2" s="924"/>
      <c r="H2" s="924"/>
      <c r="I2" s="924"/>
      <c r="J2" s="924"/>
      <c r="K2" s="924"/>
      <c r="L2" s="924"/>
      <c r="M2" s="924"/>
      <c r="N2" s="924"/>
      <c r="O2" s="924"/>
      <c r="P2" s="924"/>
      <c r="Q2" s="924"/>
      <c r="R2" s="924"/>
      <c r="S2" s="924"/>
      <c r="T2" s="924"/>
      <c r="U2" s="924"/>
      <c r="V2" s="924"/>
      <c r="W2" s="924"/>
      <c r="X2" s="924"/>
      <c r="Y2" s="924"/>
      <c r="Z2" s="924"/>
      <c r="AA2" s="924"/>
      <c r="AB2" s="925"/>
      <c r="AC2" s="924"/>
      <c r="AD2" s="924"/>
      <c r="AE2" s="924"/>
      <c r="AF2" s="924"/>
      <c r="AG2" s="924"/>
      <c r="AH2" s="924"/>
      <c r="AI2" s="924"/>
      <c r="AJ2" s="924"/>
      <c r="AK2" s="924"/>
      <c r="AL2" s="924"/>
      <c r="AM2" s="924"/>
      <c r="AN2" s="924"/>
      <c r="AO2" s="924"/>
      <c r="AP2" s="924"/>
      <c r="AQ2" s="924"/>
      <c r="AR2" s="924"/>
      <c r="AS2" s="924"/>
      <c r="AT2" s="924"/>
      <c r="AU2" s="924"/>
      <c r="AV2" s="924"/>
      <c r="AW2" s="924"/>
      <c r="AX2" s="924"/>
      <c r="AY2" s="924"/>
      <c r="AZ2" s="924"/>
      <c r="BA2" s="924"/>
      <c r="BB2" s="924"/>
      <c r="BC2" s="924"/>
      <c r="BD2" s="924"/>
      <c r="BE2" s="924"/>
      <c r="BF2" s="924"/>
      <c r="BG2" s="924"/>
      <c r="BH2" s="924"/>
      <c r="BI2" s="924"/>
      <c r="BJ2" s="924"/>
      <c r="BK2" s="924"/>
      <c r="BL2" s="924"/>
      <c r="BM2" s="924"/>
      <c r="BN2" s="924"/>
      <c r="BO2" s="924"/>
      <c r="BP2" s="924"/>
      <c r="BQ2" s="924"/>
      <c r="BR2" s="924"/>
      <c r="BS2" s="924"/>
      <c r="BT2" s="924"/>
      <c r="BU2" s="924"/>
      <c r="BV2" s="924"/>
      <c r="BW2" s="924"/>
      <c r="BX2" s="924"/>
      <c r="BY2" s="924"/>
      <c r="BZ2" s="924"/>
      <c r="CA2" s="924"/>
      <c r="CB2" s="924"/>
      <c r="CC2" s="924"/>
      <c r="CD2" s="924"/>
      <c r="CE2" s="924"/>
      <c r="CF2" s="924"/>
      <c r="CG2" s="924"/>
      <c r="CH2" s="924"/>
      <c r="CI2" s="924"/>
      <c r="CJ2" s="924"/>
      <c r="CK2" s="924"/>
      <c r="CL2" s="924"/>
      <c r="CM2" s="924"/>
      <c r="CN2" s="924"/>
      <c r="CO2" s="924"/>
      <c r="CP2" s="924"/>
      <c r="CQ2" s="924"/>
      <c r="CR2" s="924"/>
      <c r="CS2" s="924"/>
      <c r="CT2" s="924"/>
      <c r="CU2" s="924"/>
      <c r="CV2" s="924"/>
      <c r="CW2" s="924"/>
      <c r="CX2" s="924"/>
      <c r="CY2" s="924"/>
      <c r="CZ2" s="924"/>
      <c r="DA2" s="924"/>
      <c r="DB2" s="924"/>
      <c r="DC2" s="924"/>
      <c r="DD2" s="924"/>
      <c r="DE2" s="924"/>
      <c r="DF2" s="924"/>
      <c r="DG2" s="924"/>
      <c r="DH2" s="924"/>
      <c r="DI2" s="924"/>
      <c r="DJ2" s="924"/>
      <c r="DK2" s="924"/>
      <c r="DL2" s="924"/>
      <c r="DM2" s="924"/>
      <c r="DN2" s="924"/>
      <c r="DO2" s="924"/>
      <c r="DP2" s="924"/>
      <c r="DQ2" s="924"/>
      <c r="DR2" s="924"/>
      <c r="DS2" s="924"/>
      <c r="DT2" s="924"/>
      <c r="DU2" s="924"/>
      <c r="DV2" s="924"/>
      <c r="DW2" s="924"/>
      <c r="DX2" s="924"/>
      <c r="DY2" s="924"/>
      <c r="DZ2" s="924"/>
      <c r="EA2" s="924"/>
      <c r="EB2" s="924"/>
      <c r="EC2" s="924"/>
      <c r="ED2" s="924"/>
      <c r="EE2" s="924"/>
      <c r="EF2" s="924"/>
      <c r="EG2" s="924"/>
      <c r="EH2" s="924"/>
      <c r="EI2" s="924"/>
      <c r="EJ2" s="924"/>
      <c r="EK2" s="924"/>
      <c r="EL2" s="924"/>
      <c r="EM2" s="924"/>
      <c r="EN2" s="924"/>
      <c r="EO2" s="924"/>
      <c r="EP2" s="924"/>
      <c r="EQ2" s="924"/>
      <c r="ER2" s="924"/>
      <c r="ES2" s="924"/>
      <c r="ET2" s="924"/>
      <c r="EU2" s="924"/>
      <c r="EV2" s="924"/>
      <c r="EW2" s="924"/>
      <c r="EX2" s="924"/>
      <c r="EY2" s="924"/>
      <c r="EZ2" s="924"/>
      <c r="FA2" s="924"/>
      <c r="FB2" s="924"/>
      <c r="FC2" s="924"/>
      <c r="FD2" s="924"/>
      <c r="FE2" s="924"/>
      <c r="FF2" s="924"/>
      <c r="FG2" s="924"/>
      <c r="FH2" s="924"/>
      <c r="FI2" s="924"/>
      <c r="FJ2" s="924"/>
      <c r="FK2" s="924"/>
      <c r="FL2" s="924"/>
      <c r="FM2" s="924"/>
      <c r="FN2" s="924"/>
      <c r="FO2" s="924"/>
      <c r="FP2" s="924"/>
      <c r="FQ2" s="924"/>
      <c r="FR2" s="924"/>
      <c r="FS2" s="924"/>
      <c r="FT2" s="924"/>
      <c r="FU2" s="924"/>
      <c r="FV2" s="924"/>
      <c r="FW2" s="924"/>
      <c r="GC2" s="922">
        <v>0</v>
      </c>
    </row>
    <row s="925" customFormat="1" customHeight="1" ht="12" hidden="1">
      <c r="B3" s="923"/>
      <c r="C3" s="924"/>
      <c r="D3" s="924"/>
      <c r="E3" s="924"/>
      <c r="F3" s="924"/>
      <c r="G3" s="924"/>
      <c r="H3" s="924"/>
      <c r="I3" s="924"/>
      <c r="J3" s="924"/>
      <c r="K3" s="924"/>
      <c r="L3" s="924"/>
      <c r="M3" s="924"/>
      <c r="N3" s="924"/>
      <c r="O3" s="924"/>
      <c r="P3" s="924"/>
      <c r="Q3" s="924"/>
      <c r="R3" s="924"/>
      <c r="S3" s="924"/>
      <c r="T3" s="924"/>
      <c r="U3" s="924"/>
      <c r="V3" s="924"/>
      <c r="W3" s="924"/>
      <c r="X3" s="924"/>
      <c r="Y3" s="924"/>
      <c r="Z3" s="924"/>
      <c r="AA3" s="924"/>
      <c r="AB3" s="925"/>
      <c r="AC3" s="924"/>
      <c r="AD3" s="924"/>
      <c r="AE3" s="924"/>
      <c r="AF3" s="924"/>
      <c r="AG3" s="924"/>
      <c r="AH3" s="924"/>
      <c r="AI3" s="924"/>
      <c r="AJ3" s="924"/>
      <c r="AK3" s="924"/>
      <c r="AL3" s="924"/>
      <c r="AM3" s="924"/>
      <c r="AN3" s="924"/>
      <c r="AO3" s="924"/>
      <c r="AP3" s="924"/>
      <c r="AQ3" s="924"/>
      <c r="AR3" s="924"/>
      <c r="AS3" s="924"/>
      <c r="AT3" s="924"/>
      <c r="AU3" s="924"/>
      <c r="AV3" s="924"/>
      <c r="AW3" s="924"/>
      <c r="AX3" s="924"/>
      <c r="AY3" s="924"/>
      <c r="AZ3" s="924"/>
      <c r="BA3" s="924"/>
      <c r="BB3" s="924"/>
      <c r="BC3" s="924"/>
      <c r="BD3" s="924"/>
      <c r="BE3" s="924"/>
      <c r="BF3" s="924"/>
      <c r="BG3" s="924"/>
      <c r="BH3" s="924"/>
      <c r="BI3" s="924"/>
      <c r="BJ3" s="924"/>
      <c r="BK3" s="924"/>
      <c r="BL3" s="924"/>
      <c r="BM3" s="924"/>
      <c r="BN3" s="924"/>
      <c r="BO3" s="924"/>
      <c r="BP3" s="924"/>
      <c r="BQ3" s="924"/>
      <c r="BR3" s="924"/>
      <c r="BS3" s="924"/>
      <c r="BT3" s="924"/>
      <c r="BU3" s="924"/>
      <c r="BV3" s="924"/>
      <c r="BW3" s="924"/>
      <c r="BX3" s="924"/>
      <c r="BY3" s="924"/>
      <c r="BZ3" s="924"/>
      <c r="CA3" s="924"/>
      <c r="CB3" s="924"/>
      <c r="CC3" s="924"/>
      <c r="CD3" s="924"/>
      <c r="CE3" s="924"/>
      <c r="CF3" s="924"/>
      <c r="CG3" s="924"/>
      <c r="CH3" s="924"/>
      <c r="CI3" s="924"/>
      <c r="CJ3" s="924"/>
      <c r="CK3" s="924"/>
      <c r="CL3" s="924"/>
      <c r="CM3" s="924"/>
      <c r="CN3" s="924"/>
      <c r="CO3" s="924"/>
      <c r="CP3" s="924"/>
      <c r="CQ3" s="924"/>
      <c r="CR3" s="924"/>
      <c r="CS3" s="924"/>
      <c r="CT3" s="924"/>
      <c r="CU3" s="924"/>
      <c r="CV3" s="924"/>
      <c r="CW3" s="924"/>
      <c r="CX3" s="924"/>
      <c r="CY3" s="924"/>
      <c r="CZ3" s="924"/>
      <c r="DA3" s="924"/>
      <c r="DB3" s="924"/>
      <c r="DC3" s="924"/>
      <c r="DD3" s="924"/>
      <c r="DE3" s="924"/>
      <c r="DF3" s="924"/>
      <c r="DG3" s="924"/>
      <c r="DH3" s="924"/>
      <c r="DI3" s="924"/>
      <c r="DJ3" s="924"/>
      <c r="DK3" s="924"/>
      <c r="DL3" s="924"/>
      <c r="DM3" s="924"/>
      <c r="DN3" s="924"/>
      <c r="DO3" s="924"/>
      <c r="DP3" s="924"/>
      <c r="DQ3" s="924"/>
      <c r="DR3" s="924"/>
      <c r="DS3" s="924"/>
      <c r="DT3" s="924"/>
      <c r="DU3" s="924"/>
      <c r="DV3" s="924"/>
      <c r="DW3" s="924"/>
      <c r="DX3" s="924"/>
      <c r="DY3" s="924"/>
      <c r="DZ3" s="924"/>
      <c r="EA3" s="924"/>
      <c r="EB3" s="924"/>
      <c r="EC3" s="924"/>
      <c r="ED3" s="924"/>
      <c r="EE3" s="924"/>
      <c r="EF3" s="924"/>
      <c r="EG3" s="924"/>
      <c r="EH3" s="924"/>
      <c r="EI3" s="924"/>
      <c r="EJ3" s="924"/>
      <c r="EK3" s="924"/>
      <c r="EL3" s="924"/>
      <c r="EM3" s="924"/>
      <c r="EN3" s="924"/>
      <c r="EO3" s="924"/>
      <c r="EP3" s="924"/>
      <c r="EQ3" s="924"/>
      <c r="ER3" s="924"/>
      <c r="ES3" s="924"/>
      <c r="ET3" s="924"/>
      <c r="EU3" s="924"/>
      <c r="EV3" s="924"/>
      <c r="EW3" s="924"/>
      <c r="EX3" s="924"/>
      <c r="EY3" s="924"/>
      <c r="EZ3" s="924"/>
      <c r="FA3" s="924"/>
      <c r="FB3" s="924"/>
      <c r="FC3" s="924"/>
      <c r="FD3" s="924"/>
      <c r="FE3" s="924"/>
      <c r="FF3" s="924"/>
      <c r="FG3" s="924"/>
      <c r="FH3" s="924"/>
      <c r="FI3" s="924"/>
      <c r="FJ3" s="924"/>
      <c r="FK3" s="924"/>
      <c r="FL3" s="924"/>
      <c r="FM3" s="924"/>
      <c r="FN3" s="924"/>
      <c r="FO3" s="924"/>
      <c r="FP3" s="924"/>
      <c r="FQ3" s="924"/>
      <c r="FR3" s="924"/>
      <c r="FS3" s="924"/>
      <c r="FT3" s="924"/>
      <c r="FU3" s="924"/>
      <c r="FV3" s="924"/>
      <c r="FW3" s="924"/>
      <c r="GC3" s="922">
        <v>0</v>
      </c>
    </row>
    <row customHeight="1" ht="10.5">
      <c r="B4" s="927"/>
      <c r="C4" s="928"/>
      <c r="D4" s="928"/>
      <c r="E4" s="928"/>
      <c r="F4" s="928"/>
      <c r="G4" s="928"/>
      <c r="H4" s="929"/>
      <c r="I4" s="929"/>
      <c r="J4" s="929"/>
      <c r="K4" s="929"/>
      <c r="L4" s="929"/>
      <c r="M4" s="930"/>
      <c r="N4" s="930"/>
      <c r="O4" s="930"/>
      <c r="P4" s="930"/>
      <c r="Q4" s="930"/>
      <c r="R4" s="930"/>
      <c r="S4" s="930"/>
      <c r="T4" s="930"/>
      <c r="U4" s="930"/>
      <c r="V4" s="930"/>
      <c r="W4" s="930"/>
      <c r="X4" s="930"/>
      <c r="Y4" s="930"/>
      <c r="Z4" s="930"/>
      <c r="AA4" s="930"/>
      <c r="AB4" s="930"/>
      <c r="AC4" s="930"/>
      <c r="AD4" s="930"/>
      <c r="AE4" s="930"/>
      <c r="AF4" s="930"/>
      <c r="AG4" s="930"/>
      <c r="AH4" s="930"/>
      <c r="AI4" s="930"/>
      <c r="AJ4" s="930"/>
      <c r="AK4" s="930"/>
      <c r="AL4" s="930"/>
      <c r="AM4" s="930"/>
      <c r="AN4" s="930"/>
      <c r="AO4" s="930"/>
      <c r="AP4" s="930"/>
      <c r="AQ4" s="930"/>
      <c r="AR4" s="930"/>
      <c r="AS4" s="930"/>
      <c r="AT4" s="930"/>
      <c r="AU4" s="930"/>
      <c r="AV4" s="930"/>
      <c r="AW4" s="930"/>
      <c r="AX4" s="930"/>
      <c r="AY4" s="930"/>
      <c r="AZ4" s="930"/>
      <c r="BA4" s="930"/>
      <c r="BB4" s="930"/>
      <c r="BC4" s="930"/>
      <c r="BD4" s="930"/>
      <c r="BE4" s="930"/>
      <c r="BF4" s="930"/>
      <c r="BG4" s="930"/>
      <c r="BH4" s="930"/>
      <c r="BI4" s="930"/>
      <c r="BJ4" s="930"/>
      <c r="BK4" s="930"/>
      <c r="BL4" s="930"/>
      <c r="BM4" s="930"/>
      <c r="BN4" s="930"/>
      <c r="BO4" s="930"/>
      <c r="BP4" s="930"/>
      <c r="BQ4" s="930"/>
      <c r="BR4" s="930"/>
      <c r="BS4" s="930"/>
      <c r="BT4" s="930"/>
      <c r="BU4" s="930"/>
      <c r="BV4" s="930"/>
      <c r="BW4" s="930"/>
      <c r="BX4" s="930"/>
      <c r="BY4" s="930"/>
      <c r="BZ4" s="930"/>
      <c r="CA4" s="930"/>
      <c r="CB4" s="930"/>
      <c r="CC4" s="930"/>
      <c r="CD4" s="930"/>
      <c r="CE4" s="930"/>
      <c r="CF4" s="930"/>
      <c r="CG4" s="930"/>
      <c r="CH4" s="930"/>
      <c r="CI4" s="930"/>
      <c r="CJ4" s="930"/>
      <c r="CK4" s="930"/>
      <c r="CL4" s="930"/>
      <c r="CM4" s="930"/>
      <c r="CN4" s="930"/>
      <c r="CO4" s="930"/>
      <c r="CP4" s="930"/>
      <c r="CQ4" s="930"/>
      <c r="CR4" s="930"/>
      <c r="CS4" s="930"/>
      <c r="CT4" s="930"/>
      <c r="CU4" s="930"/>
      <c r="CV4" s="930"/>
      <c r="CW4" s="930"/>
      <c r="CX4" s="930"/>
      <c r="CY4" s="930"/>
      <c r="CZ4" s="930"/>
      <c r="DA4" s="930"/>
      <c r="DB4" s="930"/>
      <c r="DC4" s="930"/>
      <c r="DD4" s="930"/>
      <c r="DE4" s="930"/>
      <c r="DF4" s="930"/>
      <c r="DG4" s="930"/>
      <c r="DH4" s="930"/>
      <c r="DI4" s="930"/>
      <c r="DJ4" s="930"/>
      <c r="DK4" s="930"/>
      <c r="DL4" s="930"/>
      <c r="DM4" s="930"/>
      <c r="DN4" s="930"/>
      <c r="DO4" s="930"/>
      <c r="DP4" s="930"/>
      <c r="DQ4" s="930"/>
      <c r="DR4" s="930"/>
      <c r="DS4" s="930"/>
      <c r="DT4" s="930"/>
      <c r="DU4" s="930"/>
      <c r="DV4" s="930"/>
      <c r="DW4" s="930"/>
      <c r="DX4" s="930"/>
      <c r="DY4" s="930"/>
      <c r="DZ4" s="930"/>
      <c r="EA4" s="930"/>
      <c r="EB4" s="930"/>
      <c r="EC4" s="930"/>
      <c r="ED4" s="930"/>
      <c r="EE4" s="930"/>
      <c r="EF4" s="930"/>
      <c r="EG4" s="930"/>
      <c r="EH4" s="930"/>
      <c r="EI4" s="930"/>
      <c r="EJ4" s="930"/>
      <c r="EK4" s="930"/>
      <c r="EL4" s="930"/>
      <c r="EM4" s="930"/>
      <c r="EN4" s="930"/>
      <c r="EO4" s="930"/>
      <c r="EP4" s="930"/>
      <c r="EQ4" s="930"/>
      <c r="ER4" s="930"/>
      <c r="ES4" s="930"/>
      <c r="ET4" s="930"/>
      <c r="EU4" s="930"/>
      <c r="EV4" s="930"/>
      <c r="EW4" s="930"/>
      <c r="EX4" s="930"/>
      <c r="EY4" s="930"/>
      <c r="EZ4" s="930"/>
      <c r="FA4" s="930"/>
      <c r="FB4" s="930"/>
      <c r="FC4" s="930"/>
      <c r="FD4" s="930"/>
      <c r="FE4" s="930"/>
      <c r="FF4" s="930"/>
      <c r="FG4" s="930"/>
      <c r="FH4" s="930"/>
      <c r="FI4" s="930"/>
      <c r="FJ4" s="930"/>
      <c r="FK4" s="930"/>
      <c r="FL4" s="930"/>
      <c r="FM4" s="930"/>
      <c r="FN4" s="930"/>
      <c r="FO4" s="930"/>
      <c r="FP4" s="930"/>
      <c r="FQ4" s="930"/>
      <c r="FR4" s="930"/>
      <c r="FS4" s="930"/>
      <c r="FT4" s="930"/>
      <c r="FU4" s="930"/>
      <c r="FV4" s="930"/>
      <c r="FW4" s="930"/>
      <c r="GC4" s="926">
        <v>10</v>
      </c>
    </row>
    <row s="1873" customFormat="1" customHeight="1" ht="27.299999999999997">
      <c r="B5" s="1872"/>
      <c r="E5" s="1874"/>
      <c r="F5" s="2432" t="str">
        <f>IP_NAME_FORM&amp;"
Показатели качества, надежности и энергетической эффективности в сфере "&amp;TEMPLATE_SPHERE_RUS</f>
        <v>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Показатели качества, надежности и энергетической эффективности в сфере теплоснабжения</v>
      </c>
      <c r="G5" s="2169"/>
      <c r="H5" s="2169"/>
      <c r="I5" s="2169"/>
      <c r="J5" s="2169"/>
      <c r="K5" s="2169"/>
      <c r="L5" s="2169"/>
      <c r="M5" s="2169"/>
      <c r="N5" s="2169"/>
      <c r="O5" s="2169"/>
      <c r="P5" s="2169"/>
      <c r="Q5" s="2169"/>
      <c r="R5" s="2169"/>
      <c r="S5" s="2169"/>
      <c r="T5" s="2169"/>
      <c r="U5" s="2169"/>
      <c r="V5" s="2169"/>
      <c r="W5" s="2169"/>
      <c r="X5" s="2169"/>
      <c r="Y5" s="2169"/>
      <c r="Z5" s="2169"/>
      <c r="AA5" s="2169"/>
      <c r="AB5" s="2169"/>
      <c r="AC5" s="2169"/>
      <c r="AD5" s="2169"/>
      <c r="AE5" s="2169"/>
      <c r="AF5" s="2169"/>
      <c r="AG5" s="2169"/>
      <c r="AH5" s="2169"/>
      <c r="AI5" s="2169"/>
      <c r="AJ5" s="2169"/>
      <c r="AK5" s="2169"/>
      <c r="AL5" s="2169"/>
      <c r="AM5" s="2169"/>
      <c r="AN5" s="2169"/>
      <c r="AO5" s="2169"/>
      <c r="AP5" s="2169"/>
      <c r="AQ5" s="2169"/>
      <c r="AR5" s="2169"/>
      <c r="AS5" s="2169"/>
      <c r="AT5" s="2169"/>
      <c r="AU5" s="2169"/>
      <c r="AV5" s="2169"/>
      <c r="AW5" s="2169"/>
      <c r="AX5" s="2169"/>
      <c r="AY5" s="2169"/>
      <c r="AZ5" s="2169"/>
      <c r="BA5" s="2169"/>
      <c r="BB5" s="2169"/>
      <c r="BC5" s="2169"/>
      <c r="BD5" s="2169"/>
      <c r="BE5" s="2169"/>
      <c r="BF5" s="2169"/>
      <c r="BG5" s="2169"/>
      <c r="BH5" s="2169"/>
      <c r="BI5" s="2169"/>
      <c r="BJ5" s="2169"/>
      <c r="BK5" s="2169"/>
      <c r="BL5" s="2169"/>
      <c r="BM5" s="2169"/>
      <c r="BN5" s="2169"/>
      <c r="BO5" s="2169"/>
      <c r="BP5" s="2169"/>
      <c r="BQ5" s="2169"/>
      <c r="BR5" s="2169"/>
      <c r="BS5" s="2169"/>
      <c r="GC5" s="1873">
        <v>26</v>
      </c>
    </row>
    <row s="2138" customFormat="1" customHeight="1" ht="18.75">
      <c r="B6" s="943"/>
      <c r="E6" s="945"/>
      <c r="F6" s="2214" t="str">
        <f>IF(org=0,"Не определено",org)</f>
        <v>ПАО "ОГК-2"</v>
      </c>
      <c r="G6" s="2215"/>
      <c r="H6" s="2215"/>
      <c r="I6" s="2215"/>
      <c r="J6" s="2215"/>
      <c r="K6" s="2215"/>
      <c r="L6" s="2215"/>
      <c r="M6" s="2215"/>
      <c r="N6" s="2215"/>
      <c r="O6" s="2215"/>
      <c r="P6" s="2215"/>
      <c r="Q6" s="2215"/>
      <c r="R6" s="2215"/>
      <c r="S6" s="2215"/>
      <c r="T6" s="2215"/>
      <c r="U6" s="2215"/>
      <c r="V6" s="2215"/>
      <c r="W6" s="2215"/>
      <c r="X6" s="2215"/>
      <c r="Y6" s="2215"/>
      <c r="Z6" s="2215"/>
      <c r="AA6" s="2215"/>
      <c r="AB6" s="2215"/>
      <c r="AC6" s="2215"/>
      <c r="AD6" s="2215"/>
      <c r="AE6" s="2215"/>
      <c r="AF6" s="2215"/>
      <c r="AG6" s="2215"/>
      <c r="AH6" s="2215"/>
      <c r="AI6" s="2215"/>
      <c r="AJ6" s="2215"/>
      <c r="AK6" s="2215"/>
      <c r="AL6" s="2215"/>
      <c r="AM6" s="2215"/>
      <c r="AN6" s="2215"/>
      <c r="AO6" s="2215"/>
      <c r="AP6" s="2215"/>
      <c r="AQ6" s="2215"/>
      <c r="AR6" s="2215"/>
      <c r="AS6" s="2215"/>
      <c r="AT6" s="2215"/>
      <c r="AU6" s="2215"/>
      <c r="AV6" s="2215"/>
      <c r="AW6" s="2215"/>
      <c r="AX6" s="2215"/>
      <c r="AY6" s="2215"/>
      <c r="AZ6" s="2215"/>
      <c r="BA6" s="2215"/>
      <c r="BB6" s="2215"/>
      <c r="BC6" s="2215"/>
      <c r="BD6" s="2215"/>
      <c r="BE6" s="2215"/>
      <c r="BF6" s="2215"/>
      <c r="BG6" s="2215"/>
      <c r="BH6" s="2215"/>
      <c r="BI6" s="2215"/>
      <c r="BJ6" s="2215"/>
      <c r="BK6" s="2215"/>
      <c r="BL6" s="2215"/>
      <c r="BM6" s="2215"/>
      <c r="BN6" s="2215"/>
      <c r="BO6" s="2215"/>
      <c r="BP6" s="2215"/>
      <c r="BQ6" s="2215"/>
      <c r="BR6" s="2215"/>
      <c r="BS6" s="2215"/>
      <c r="GC6" s="944">
        <v>18</v>
      </c>
    </row>
    <row s="933" customFormat="1" customHeight="1" ht="10.5">
      <c r="B7" s="932"/>
      <c r="E7" s="933"/>
      <c r="F7" s="933"/>
      <c r="G7" s="935"/>
      <c r="H7" s="929"/>
      <c r="I7" s="929"/>
      <c r="J7" s="929"/>
      <c r="K7" s="929"/>
      <c r="L7" s="929"/>
      <c r="M7" s="933"/>
      <c r="N7" s="933"/>
      <c r="O7" s="933"/>
      <c r="P7" s="933"/>
      <c r="Q7" s="933"/>
      <c r="R7" s="933"/>
      <c r="S7" s="933"/>
      <c r="T7" s="933"/>
      <c r="U7" s="933"/>
      <c r="V7" s="933"/>
      <c r="W7" s="933"/>
      <c r="X7" s="933"/>
      <c r="Y7" s="933"/>
      <c r="Z7" s="933"/>
      <c r="AA7" s="933"/>
      <c r="AB7" s="933"/>
      <c r="AC7" s="933"/>
      <c r="AD7" s="933"/>
      <c r="AE7" s="933"/>
      <c r="AF7" s="933"/>
      <c r="AG7" s="933"/>
      <c r="AH7" s="933"/>
      <c r="AI7" s="933"/>
      <c r="AJ7" s="933"/>
      <c r="AK7" s="933"/>
      <c r="AL7" s="933"/>
      <c r="AM7" s="933"/>
      <c r="AN7" s="933"/>
      <c r="AO7" s="933"/>
      <c r="AP7" s="933"/>
      <c r="AQ7" s="933"/>
      <c r="AR7" s="933"/>
      <c r="AS7" s="933"/>
      <c r="AT7" s="933"/>
      <c r="AU7" s="933"/>
      <c r="AV7" s="933"/>
      <c r="AW7" s="933"/>
      <c r="AX7" s="933"/>
      <c r="AY7" s="933"/>
      <c r="AZ7" s="933"/>
      <c r="BA7" s="933"/>
      <c r="BB7" s="933"/>
      <c r="BC7" s="933"/>
      <c r="BD7" s="933"/>
      <c r="BE7" s="933"/>
      <c r="BF7" s="933"/>
      <c r="BG7" s="933"/>
      <c r="BH7" s="933"/>
      <c r="BI7" s="933"/>
      <c r="BJ7" s="933"/>
      <c r="BK7" s="933"/>
      <c r="BL7" s="933"/>
      <c r="BM7" s="933"/>
      <c r="BN7" s="933"/>
      <c r="BO7" s="933"/>
      <c r="BP7" s="933"/>
      <c r="BQ7" s="933"/>
      <c r="BR7" s="933"/>
      <c r="BS7" s="933"/>
      <c r="BT7" s="933"/>
      <c r="BU7" s="933"/>
      <c r="BV7" s="933"/>
      <c r="BW7" s="933"/>
      <c r="BX7" s="933"/>
      <c r="BY7" s="933"/>
      <c r="BZ7" s="933"/>
      <c r="CA7" s="933"/>
      <c r="CB7" s="933"/>
      <c r="CC7" s="933"/>
      <c r="CD7" s="933"/>
      <c r="CE7" s="933"/>
      <c r="CF7" s="933"/>
      <c r="CG7" s="933"/>
      <c r="CH7" s="933"/>
      <c r="CI7" s="933"/>
      <c r="CJ7" s="933"/>
      <c r="CK7" s="933"/>
      <c r="CL7" s="933"/>
      <c r="CM7" s="933"/>
      <c r="CN7" s="933"/>
      <c r="CO7" s="933"/>
      <c r="CP7" s="933"/>
      <c r="CQ7" s="933"/>
      <c r="CR7" s="933"/>
      <c r="CS7" s="933"/>
      <c r="CT7" s="933"/>
      <c r="CU7" s="933"/>
      <c r="CV7" s="933"/>
      <c r="CW7" s="933"/>
      <c r="CX7" s="933"/>
      <c r="CY7" s="933"/>
      <c r="CZ7" s="933"/>
      <c r="DA7" s="933"/>
      <c r="DB7" s="933"/>
      <c r="DC7" s="933"/>
      <c r="DD7" s="933"/>
      <c r="DE7" s="933"/>
      <c r="DF7" s="933"/>
      <c r="DG7" s="933"/>
      <c r="DH7" s="933"/>
      <c r="DI7" s="933"/>
      <c r="DJ7" s="933"/>
      <c r="DK7" s="933"/>
      <c r="DL7" s="933"/>
      <c r="DM7" s="933"/>
      <c r="DN7" s="933"/>
      <c r="DO7" s="933"/>
      <c r="DP7" s="933"/>
      <c r="DQ7" s="933"/>
      <c r="DR7" s="933"/>
      <c r="DS7" s="933"/>
      <c r="DT7" s="933"/>
      <c r="DU7" s="933"/>
      <c r="DV7" s="933"/>
      <c r="DW7" s="933"/>
      <c r="DX7" s="933"/>
      <c r="DY7" s="933"/>
      <c r="DZ7" s="933"/>
      <c r="EA7" s="933"/>
      <c r="EB7" s="933"/>
      <c r="EC7" s="933"/>
      <c r="ED7" s="933"/>
      <c r="EE7" s="933"/>
      <c r="EF7" s="933"/>
      <c r="EG7" s="933"/>
      <c r="EH7" s="933"/>
      <c r="EI7" s="933"/>
      <c r="EJ7" s="933"/>
      <c r="EK7" s="933"/>
      <c r="EL7" s="933"/>
      <c r="EM7" s="933"/>
      <c r="EN7" s="933"/>
      <c r="EO7" s="933"/>
      <c r="EP7" s="933"/>
      <c r="EQ7" s="933"/>
      <c r="ER7" s="933"/>
      <c r="ES7" s="933"/>
      <c r="ET7" s="933"/>
      <c r="EU7" s="933"/>
      <c r="EV7" s="933"/>
      <c r="EW7" s="933"/>
      <c r="EX7" s="933"/>
      <c r="EY7" s="933"/>
      <c r="EZ7" s="933"/>
      <c r="FA7" s="933"/>
      <c r="FB7" s="933"/>
      <c r="FC7" s="933"/>
      <c r="FD7" s="933"/>
      <c r="FE7" s="933"/>
      <c r="FF7" s="933"/>
      <c r="FG7" s="933"/>
      <c r="FH7" s="933"/>
      <c r="FI7" s="933"/>
      <c r="FJ7" s="933"/>
      <c r="FK7" s="933"/>
      <c r="FL7" s="933"/>
      <c r="FM7" s="933"/>
      <c r="FN7" s="933"/>
      <c r="FO7" s="933"/>
      <c r="FP7" s="933"/>
      <c r="FQ7" s="933"/>
      <c r="FR7" s="933"/>
      <c r="FS7" s="933"/>
      <c r="FT7" s="933"/>
      <c r="FU7" s="933"/>
      <c r="FV7" s="933"/>
      <c r="FW7" s="933"/>
      <c r="GC7" s="931">
        <v>10</v>
      </c>
    </row>
    <row s="933" customFormat="1" customHeight="1" ht="11.25" hidden="1">
      <c r="B8" s="934"/>
      <c r="F8" s="1056"/>
      <c r="G8" s="763"/>
      <c r="H8" s="360"/>
      <c r="I8" s="360"/>
      <c r="J8" s="360"/>
      <c r="K8" s="360"/>
      <c r="L8" s="360"/>
      <c r="M8" s="1056"/>
      <c r="N8" s="1056"/>
      <c r="O8" s="2450" t="s">
        <v>1075</v>
      </c>
      <c r="P8" s="2451"/>
      <c r="Q8" s="2451"/>
      <c r="R8" s="2451"/>
      <c r="S8" s="2451"/>
      <c r="T8" s="2451"/>
      <c r="U8" s="2451"/>
      <c r="V8" s="2451"/>
      <c r="W8" s="2451"/>
      <c r="X8" s="2451"/>
      <c r="Y8" s="2451"/>
      <c r="Z8" s="2451"/>
      <c r="AA8" s="2451"/>
      <c r="AB8" s="2451"/>
      <c r="AC8" s="2451"/>
      <c r="AD8" s="2451"/>
      <c r="AE8" s="2451"/>
      <c r="AF8" s="2451"/>
      <c r="AG8" s="2451"/>
      <c r="AH8" s="2451"/>
      <c r="AI8" s="2451"/>
      <c r="AJ8" s="2451"/>
      <c r="AK8" s="2451"/>
      <c r="AL8" s="2451"/>
      <c r="AM8" s="2451"/>
      <c r="AN8" s="2451"/>
      <c r="AO8" s="2451"/>
      <c r="AP8" s="2451"/>
      <c r="AQ8" s="2451"/>
      <c r="AR8" s="2451"/>
      <c r="AS8" s="2451"/>
      <c r="AT8" s="2451"/>
      <c r="AU8" s="2451"/>
      <c r="AV8" s="2451"/>
      <c r="AW8" s="2451"/>
      <c r="AX8" s="2451"/>
      <c r="AY8" s="2451"/>
      <c r="AZ8" s="2451"/>
      <c r="BA8" s="2451"/>
      <c r="BB8" s="2451"/>
      <c r="BC8" s="2451"/>
      <c r="BD8" s="2451"/>
      <c r="BE8" s="2451"/>
      <c r="BF8" s="2451"/>
      <c r="BG8" s="2451"/>
      <c r="BH8" s="2451"/>
      <c r="BI8" s="2451"/>
      <c r="BJ8" s="2451"/>
      <c r="BK8" s="2451"/>
      <c r="BL8" s="2451"/>
      <c r="BM8" s="2451"/>
      <c r="BN8" s="2451"/>
      <c r="BO8" s="2451"/>
      <c r="BP8" s="2451"/>
      <c r="BQ8" s="2451"/>
      <c r="BR8" s="2451"/>
      <c r="BS8" s="2452"/>
      <c r="BT8" s="2439"/>
      <c r="BU8" s="2440"/>
      <c r="BV8" s="2440"/>
      <c r="BW8" s="2440"/>
      <c r="BX8" s="2440"/>
      <c r="BY8" s="2440"/>
      <c r="BZ8" s="2440"/>
      <c r="CA8" s="2440"/>
      <c r="CB8" s="2440"/>
      <c r="CC8" s="2440"/>
      <c r="CD8" s="2440"/>
      <c r="CE8" s="2440"/>
      <c r="CF8" s="2440"/>
      <c r="CG8" s="2440"/>
      <c r="CH8" s="2440"/>
      <c r="CI8" s="2440"/>
      <c r="CJ8" s="2440"/>
      <c r="CK8" s="2440"/>
      <c r="CL8" s="2440"/>
      <c r="CM8" s="2440"/>
      <c r="CN8" s="2440"/>
      <c r="CO8" s="2440"/>
      <c r="CP8" s="2440"/>
      <c r="CQ8" s="2440"/>
      <c r="CR8" s="2440"/>
      <c r="CS8" s="2440"/>
      <c r="CT8" s="2440"/>
      <c r="CU8" s="2440"/>
      <c r="CV8" s="2440"/>
      <c r="CW8" s="2440"/>
      <c r="CX8" s="2441"/>
      <c r="CY8" s="2442"/>
      <c r="CZ8" s="2443"/>
      <c r="DA8" s="2443"/>
      <c r="DB8" s="2443"/>
      <c r="DC8" s="2443"/>
      <c r="DD8" s="2443"/>
      <c r="DE8" s="2443"/>
      <c r="DF8" s="2443"/>
      <c r="DG8" s="2443"/>
      <c r="DH8" s="2443"/>
      <c r="DI8" s="2443"/>
      <c r="DJ8" s="2443"/>
      <c r="DK8" s="2443"/>
      <c r="DL8" s="2443"/>
      <c r="DM8" s="2443"/>
      <c r="DN8" s="2443"/>
      <c r="DO8" s="2443"/>
      <c r="DP8" s="2443"/>
      <c r="DQ8" s="2443"/>
      <c r="DR8" s="2443"/>
      <c r="DS8" s="2443"/>
      <c r="DT8" s="2443"/>
      <c r="DU8" s="2443"/>
      <c r="DV8" s="2443"/>
      <c r="DW8" s="2443"/>
      <c r="DX8" s="2444"/>
      <c r="DY8" s="2445" t="s">
        <v>1076</v>
      </c>
      <c r="DZ8" s="2446"/>
      <c r="EA8" s="2446"/>
      <c r="EB8" s="2446"/>
      <c r="EC8" s="2446"/>
      <c r="ED8" s="2446"/>
      <c r="EE8" s="2446"/>
      <c r="EF8" s="2446"/>
      <c r="EG8" s="2446"/>
      <c r="EH8" s="2446"/>
      <c r="EI8" s="2446"/>
      <c r="EJ8" s="2446"/>
      <c r="EK8" s="2446"/>
      <c r="EL8" s="2446"/>
      <c r="EM8" s="2446"/>
      <c r="EN8" s="2446"/>
      <c r="EO8" s="2446"/>
      <c r="EP8" s="2446"/>
      <c r="EQ8" s="2446"/>
      <c r="ER8" s="2446"/>
      <c r="ES8" s="2446"/>
      <c r="ET8" s="2446"/>
      <c r="EU8" s="2446"/>
      <c r="EV8" s="2446"/>
      <c r="EW8" s="2446"/>
      <c r="EX8" s="2446"/>
      <c r="EY8" s="2446"/>
      <c r="EZ8" s="2446"/>
      <c r="FA8" s="2446"/>
      <c r="FB8" s="2446"/>
      <c r="FC8" s="2446"/>
      <c r="FD8" s="2446"/>
      <c r="FE8" s="2446"/>
      <c r="FF8" s="2446"/>
      <c r="FG8" s="2446"/>
      <c r="FH8" s="2446"/>
      <c r="FI8" s="2446"/>
      <c r="FJ8" s="2446"/>
      <c r="FK8" s="2446"/>
      <c r="FL8" s="2446"/>
      <c r="FM8" s="2446"/>
      <c r="FN8" s="2446"/>
      <c r="FO8" s="2446"/>
      <c r="FP8" s="2446"/>
      <c r="FQ8" s="2446"/>
      <c r="FR8" s="2446"/>
      <c r="FS8" s="2446"/>
      <c r="FT8" s="2446"/>
      <c r="FU8" s="2446"/>
      <c r="FV8" s="2446"/>
      <c r="FW8" s="2447"/>
      <c r="FX8" s="1056"/>
      <c r="GC8" s="933">
        <v>0</v>
      </c>
    </row>
    <row s="933" customFormat="1" customHeight="1" ht="11.25" hidden="1">
      <c r="B9" s="934"/>
      <c r="F9" s="1056"/>
      <c r="G9" s="763"/>
      <c r="H9" s="360"/>
      <c r="I9" s="360"/>
      <c r="J9" s="360"/>
      <c r="K9" s="360"/>
      <c r="L9" s="360"/>
      <c r="M9" s="1056"/>
      <c r="N9" s="1056"/>
      <c r="O9" s="1056"/>
      <c r="P9" s="1056"/>
      <c r="Q9" s="1056"/>
      <c r="R9" s="1056"/>
      <c r="S9" s="1056"/>
      <c r="T9" s="1056"/>
      <c r="U9" s="1056"/>
      <c r="V9" s="1056"/>
      <c r="W9" s="1056"/>
      <c r="X9" s="1056"/>
      <c r="Y9" s="1056"/>
      <c r="Z9" s="1056"/>
      <c r="AA9" s="1056"/>
      <c r="AB9" s="1056"/>
      <c r="AC9" s="1056"/>
      <c r="AD9" s="1056"/>
      <c r="AE9" s="1056"/>
      <c r="AF9" s="1056"/>
      <c r="AG9" s="1056"/>
      <c r="AH9" s="1056"/>
      <c r="AI9" s="1056"/>
      <c r="AJ9" s="1056"/>
      <c r="AK9" s="1056"/>
      <c r="AL9" s="1056"/>
      <c r="AM9" s="1056"/>
      <c r="AN9" s="1056"/>
      <c r="AO9" s="1056"/>
      <c r="AP9" s="1056"/>
      <c r="AQ9" s="1056"/>
      <c r="AR9" s="1056"/>
      <c r="AS9" s="1056"/>
      <c r="AT9" s="1056"/>
      <c r="AU9" s="1056"/>
      <c r="AV9" s="1056"/>
      <c r="AW9" s="1056"/>
      <c r="AX9" s="1056"/>
      <c r="AY9" s="1056"/>
      <c r="AZ9" s="1056"/>
      <c r="BA9" s="1056"/>
      <c r="BB9" s="1056"/>
      <c r="BC9" s="1056"/>
      <c r="BD9" s="1056"/>
      <c r="BE9" s="1056"/>
      <c r="BF9" s="1056"/>
      <c r="BG9" s="1056"/>
      <c r="BH9" s="1056"/>
      <c r="BI9" s="1056"/>
      <c r="BJ9" s="1056"/>
      <c r="BK9" s="1056"/>
      <c r="BL9" s="1056"/>
      <c r="BM9" s="1056"/>
      <c r="BN9" s="1056"/>
      <c r="BO9" s="1056"/>
      <c r="BP9" s="1056"/>
      <c r="BQ9" s="1056"/>
      <c r="BR9" s="1056"/>
      <c r="BS9" s="1056"/>
      <c r="BT9" s="1056"/>
      <c r="BU9" s="1056"/>
      <c r="BV9" s="1056"/>
      <c r="BW9" s="1056"/>
      <c r="BX9" s="1056"/>
      <c r="BY9" s="1056"/>
      <c r="BZ9" s="1056"/>
      <c r="CA9" s="1056"/>
      <c r="CB9" s="1056"/>
      <c r="CC9" s="1056"/>
      <c r="CD9" s="1056"/>
      <c r="CE9" s="1056"/>
      <c r="CF9" s="1056"/>
      <c r="CG9" s="1056"/>
      <c r="CH9" s="1056"/>
      <c r="CI9" s="1056"/>
      <c r="CJ9" s="1056"/>
      <c r="CK9" s="1056"/>
      <c r="CL9" s="1056"/>
      <c r="CM9" s="1056"/>
      <c r="CN9" s="1056"/>
      <c r="CO9" s="1056"/>
      <c r="CP9" s="1056"/>
      <c r="CQ9" s="1056"/>
      <c r="CR9" s="1056"/>
      <c r="CS9" s="1056"/>
      <c r="CT9" s="1056"/>
      <c r="CU9" s="1056"/>
      <c r="CV9" s="1056"/>
      <c r="CW9" s="1056"/>
      <c r="CX9" s="1056"/>
      <c r="CY9" s="1056"/>
      <c r="CZ9" s="1056"/>
      <c r="DA9" s="1056"/>
      <c r="DB9" s="1056"/>
      <c r="DC9" s="1056"/>
      <c r="DD9" s="1056"/>
      <c r="DE9" s="1056"/>
      <c r="DF9" s="1056"/>
      <c r="DG9" s="1056"/>
      <c r="DH9" s="1056"/>
      <c r="DI9" s="1056"/>
      <c r="DJ9" s="1056"/>
      <c r="DK9" s="1056"/>
      <c r="DL9" s="1056"/>
      <c r="DM9" s="1056"/>
      <c r="DN9" s="1056"/>
      <c r="DO9" s="1056"/>
      <c r="DP9" s="1056"/>
      <c r="DQ9" s="1056"/>
      <c r="DR9" s="1056"/>
      <c r="DS9" s="1056"/>
      <c r="DT9" s="1056"/>
      <c r="DU9" s="1056"/>
      <c r="DV9" s="1056"/>
      <c r="DW9" s="1056"/>
      <c r="DX9" s="1056"/>
      <c r="DY9" s="1056"/>
      <c r="DZ9" s="1056"/>
      <c r="EA9" s="1056"/>
      <c r="EB9" s="1056"/>
      <c r="EC9" s="1056"/>
      <c r="ED9" s="1056"/>
      <c r="EE9" s="1056"/>
      <c r="EF9" s="1056"/>
      <c r="EG9" s="1056"/>
      <c r="EH9" s="1056"/>
      <c r="EI9" s="1056"/>
      <c r="EJ9" s="1056"/>
      <c r="EK9" s="1056"/>
      <c r="EL9" s="1056"/>
      <c r="EM9" s="1056"/>
      <c r="EN9" s="1056"/>
      <c r="EO9" s="1056"/>
      <c r="EP9" s="1056"/>
      <c r="EQ9" s="1056"/>
      <c r="ER9" s="1056"/>
      <c r="ES9" s="1056"/>
      <c r="ET9" s="1056"/>
      <c r="EU9" s="1056"/>
      <c r="EV9" s="1056"/>
      <c r="EW9" s="1056"/>
      <c r="EX9" s="1056"/>
      <c r="EY9" s="1056"/>
      <c r="EZ9" s="1056"/>
      <c r="FA9" s="1056"/>
      <c r="FB9" s="1056"/>
      <c r="FC9" s="1056"/>
      <c r="FD9" s="1056"/>
      <c r="FE9" s="1056"/>
      <c r="FF9" s="1056"/>
      <c r="FG9" s="1056"/>
      <c r="FH9" s="1056"/>
      <c r="FI9" s="1056"/>
      <c r="FJ9" s="1056"/>
      <c r="FK9" s="1056"/>
      <c r="FL9" s="1056"/>
      <c r="FM9" s="1056"/>
      <c r="FN9" s="1056"/>
      <c r="FO9" s="1056"/>
      <c r="FP9" s="1056"/>
      <c r="FQ9" s="1056"/>
      <c r="FR9" s="1056"/>
      <c r="FS9" s="1056"/>
      <c r="FT9" s="1056"/>
      <c r="FU9" s="1056"/>
      <c r="FV9" s="1056"/>
      <c r="FW9" s="2448"/>
      <c r="FX9" s="1056"/>
      <c r="GC9" s="933">
        <v>0</v>
      </c>
    </row>
    <row s="933" customFormat="1" customHeight="1" ht="11.549999999999999">
      <c r="B10" s="934"/>
      <c r="F10" s="2429" t="s">
        <v>302</v>
      </c>
      <c r="G10" s="2430"/>
      <c r="H10" s="2430"/>
      <c r="I10" s="2430"/>
      <c r="J10" s="2430"/>
      <c r="K10" s="2430"/>
      <c r="L10" s="2430"/>
      <c r="M10" s="2430"/>
      <c r="N10" s="2430"/>
      <c r="O10" s="2430"/>
      <c r="P10" s="2430"/>
      <c r="Q10" s="2430"/>
      <c r="R10" s="2430"/>
      <c r="S10" s="2430"/>
      <c r="T10" s="2430"/>
      <c r="U10" s="2430"/>
      <c r="V10" s="2430"/>
      <c r="W10" s="2430"/>
      <c r="X10" s="2430"/>
      <c r="Y10" s="2430"/>
      <c r="Z10" s="2430"/>
      <c r="AA10" s="2430"/>
      <c r="AB10" s="2430"/>
      <c r="AC10" s="2430"/>
      <c r="AD10" s="2430"/>
      <c r="AE10" s="2430"/>
      <c r="AF10" s="2430"/>
      <c r="AG10" s="2430"/>
      <c r="AH10" s="2430"/>
      <c r="AI10" s="2430"/>
      <c r="AJ10" s="2430"/>
      <c r="AK10" s="2430"/>
      <c r="AL10" s="2430"/>
      <c r="AM10" s="2430"/>
      <c r="AN10" s="2430"/>
      <c r="AO10" s="2430"/>
      <c r="AP10" s="2430"/>
      <c r="AQ10" s="2430"/>
      <c r="AR10" s="2430"/>
      <c r="AS10" s="2430"/>
      <c r="AT10" s="2430"/>
      <c r="AU10" s="2430"/>
      <c r="AV10" s="2430"/>
      <c r="AW10" s="2430"/>
      <c r="AX10" s="2430"/>
      <c r="AY10" s="2430"/>
      <c r="AZ10" s="2430"/>
      <c r="BA10" s="2430"/>
      <c r="BB10" s="2430"/>
      <c r="BC10" s="2430"/>
      <c r="BD10" s="2430"/>
      <c r="BE10" s="2430"/>
      <c r="BF10" s="2430"/>
      <c r="BG10" s="2430"/>
      <c r="BH10" s="2430"/>
      <c r="BI10" s="2430"/>
      <c r="BJ10" s="2430"/>
      <c r="BK10" s="2430"/>
      <c r="BL10" s="2430"/>
      <c r="BM10" s="2430"/>
      <c r="BN10" s="2430"/>
      <c r="BO10" s="2430"/>
      <c r="BP10" s="2430"/>
      <c r="BQ10" s="2430"/>
      <c r="BR10" s="2430"/>
      <c r="BS10" s="2430"/>
      <c r="BT10" s="2430"/>
      <c r="BU10" s="2430"/>
      <c r="BV10" s="2430"/>
      <c r="BW10" s="2430"/>
      <c r="BX10" s="2430"/>
      <c r="BY10" s="2430"/>
      <c r="BZ10" s="2430"/>
      <c r="CA10" s="2430"/>
      <c r="CB10" s="2430"/>
      <c r="CC10" s="2430"/>
      <c r="CD10" s="2430"/>
      <c r="CE10" s="2430"/>
      <c r="CF10" s="2430"/>
      <c r="CG10" s="2430"/>
      <c r="CH10" s="2430"/>
      <c r="CI10" s="2430"/>
      <c r="CJ10" s="2430"/>
      <c r="CK10" s="2430"/>
      <c r="CL10" s="2430"/>
      <c r="CM10" s="2430"/>
      <c r="CN10" s="2430"/>
      <c r="CO10" s="2430"/>
      <c r="CP10" s="2430"/>
      <c r="CQ10" s="2430"/>
      <c r="CR10" s="2430"/>
      <c r="CS10" s="2430"/>
      <c r="CT10" s="2430"/>
      <c r="CU10" s="2430"/>
      <c r="CV10" s="2430"/>
      <c r="CW10" s="2430"/>
      <c r="CX10" s="2430"/>
      <c r="CY10" s="2430"/>
      <c r="CZ10" s="2430"/>
      <c r="DA10" s="2430"/>
      <c r="DB10" s="2430"/>
      <c r="DC10" s="2430"/>
      <c r="DD10" s="2430"/>
      <c r="DE10" s="2430"/>
      <c r="DF10" s="2430"/>
      <c r="DG10" s="2430"/>
      <c r="DH10" s="2430"/>
      <c r="DI10" s="2430"/>
      <c r="DJ10" s="2430"/>
      <c r="DK10" s="2430"/>
      <c r="DL10" s="2430"/>
      <c r="DM10" s="2430"/>
      <c r="DN10" s="2430"/>
      <c r="DO10" s="2430"/>
      <c r="DP10" s="2430"/>
      <c r="DQ10" s="2430"/>
      <c r="DR10" s="2430"/>
      <c r="DS10" s="2430"/>
      <c r="DT10" s="2430"/>
      <c r="DU10" s="2430"/>
      <c r="DV10" s="2430"/>
      <c r="DW10" s="2430"/>
      <c r="DX10" s="2430"/>
      <c r="DY10" s="2430"/>
      <c r="DZ10" s="2430"/>
      <c r="EA10" s="2430"/>
      <c r="EB10" s="2430"/>
      <c r="EC10" s="2430"/>
      <c r="ED10" s="2430"/>
      <c r="EE10" s="2430"/>
      <c r="EF10" s="2430"/>
      <c r="EG10" s="2430"/>
      <c r="EH10" s="2430"/>
      <c r="EI10" s="2430"/>
      <c r="EJ10" s="2430"/>
      <c r="EK10" s="2430"/>
      <c r="EL10" s="2430"/>
      <c r="EM10" s="2430"/>
      <c r="EN10" s="2430"/>
      <c r="EO10" s="2430"/>
      <c r="EP10" s="2430"/>
      <c r="EQ10" s="2430"/>
      <c r="ER10" s="2430"/>
      <c r="ES10" s="2430"/>
      <c r="ET10" s="2430"/>
      <c r="EU10" s="2430"/>
      <c r="EV10" s="2430"/>
      <c r="EW10" s="2430"/>
      <c r="EX10" s="2430"/>
      <c r="EY10" s="2430"/>
      <c r="EZ10" s="2430"/>
      <c r="FA10" s="2430"/>
      <c r="FB10" s="2430"/>
      <c r="FC10" s="2430"/>
      <c r="FD10" s="2430"/>
      <c r="FE10" s="2430"/>
      <c r="FF10" s="2430"/>
      <c r="FG10" s="2430"/>
      <c r="FH10" s="2430"/>
      <c r="FI10" s="2430"/>
      <c r="FJ10" s="2430"/>
      <c r="FK10" s="2430"/>
      <c r="FL10" s="2430"/>
      <c r="FM10" s="2430"/>
      <c r="FN10" s="2430"/>
      <c r="FO10" s="2430"/>
      <c r="FP10" s="2430"/>
      <c r="FQ10" s="2430"/>
      <c r="FR10" s="2430"/>
      <c r="FS10" s="2430"/>
      <c r="FT10" s="2430"/>
      <c r="FU10" s="2430"/>
      <c r="FV10" s="2431"/>
      <c r="FW10" s="2448"/>
      <c r="FX10" s="1056"/>
      <c r="GC10" s="933">
        <v>11</v>
      </c>
    </row>
    <row customHeight="1" ht="12.75">
      <c r="E11" s="937"/>
      <c r="F11" s="2205" t="s">
        <v>88</v>
      </c>
      <c r="G11" s="2205" t="s">
        <v>1077</v>
      </c>
      <c r="H11" s="2437" t="s">
        <v>1078</v>
      </c>
      <c r="I11" s="2437" t="s">
        <v>1079</v>
      </c>
      <c r="J11" s="2438"/>
      <c r="K11" s="2438"/>
      <c r="L11" s="2438"/>
      <c r="M11" s="2438"/>
      <c r="N11" s="2438"/>
      <c r="O11" s="2209" t="s">
        <v>1080</v>
      </c>
      <c r="P11" s="2209"/>
      <c r="Q11" s="2209"/>
      <c r="R11" s="2209"/>
      <c r="S11" s="2209"/>
      <c r="T11" s="2209"/>
      <c r="U11" s="2209"/>
      <c r="V11" s="2209"/>
      <c r="W11" s="2209"/>
      <c r="X11" s="2209"/>
      <c r="Y11" s="2209"/>
      <c r="Z11" s="2209"/>
      <c r="AA11" s="2209"/>
      <c r="AB11" s="2209"/>
      <c r="AC11" s="2434"/>
      <c r="AD11" s="2434"/>
      <c r="AE11" s="2434"/>
      <c r="AF11" s="2434"/>
      <c r="AG11" s="2434"/>
      <c r="AH11" s="2434"/>
      <c r="AI11" s="2434"/>
      <c r="AJ11" s="2434"/>
      <c r="AK11" s="2434"/>
      <c r="AL11" s="2434"/>
      <c r="AM11" s="2434"/>
      <c r="AN11" s="2434"/>
      <c r="AO11" s="2434"/>
      <c r="AP11" s="2434"/>
      <c r="AQ11" s="2434"/>
      <c r="AR11" s="2434"/>
      <c r="AS11" s="2434"/>
      <c r="AT11" s="2434"/>
      <c r="AU11" s="2434"/>
      <c r="AV11" s="2434"/>
      <c r="AW11" s="2434"/>
      <c r="AX11" s="2434"/>
      <c r="AY11" s="2434"/>
      <c r="AZ11" s="2434"/>
      <c r="BA11" s="2434"/>
      <c r="BB11" s="2434"/>
      <c r="BC11" s="2434"/>
      <c r="BD11" s="2434"/>
      <c r="BE11" s="2434"/>
      <c r="BF11" s="2434"/>
      <c r="BG11" s="2434"/>
      <c r="BH11" s="2434"/>
      <c r="BI11" s="2434"/>
      <c r="BJ11" s="2434"/>
      <c r="BK11" s="2434"/>
      <c r="BL11" s="2434"/>
      <c r="BM11" s="2434"/>
      <c r="BN11" s="2434"/>
      <c r="BO11" s="2434"/>
      <c r="BP11" s="2434"/>
      <c r="BQ11" s="2434"/>
      <c r="BR11" s="2434"/>
      <c r="BS11" s="2453"/>
      <c r="BT11" s="2386" t="s">
        <v>1080</v>
      </c>
      <c r="BU11" s="2387"/>
      <c r="BV11" s="2387"/>
      <c r="BW11" s="2387"/>
      <c r="BX11" s="2387"/>
      <c r="BY11" s="2387"/>
      <c r="BZ11" s="2387"/>
      <c r="CA11" s="2387"/>
      <c r="CB11" s="2387"/>
      <c r="CC11" s="2387"/>
      <c r="CD11" s="2387"/>
      <c r="CE11" s="2387"/>
      <c r="CF11" s="2387"/>
      <c r="CG11" s="2387"/>
      <c r="CH11" s="2387"/>
      <c r="CI11" s="2387"/>
      <c r="CJ11" s="2387"/>
      <c r="CK11" s="2433"/>
      <c r="CL11" s="2436"/>
      <c r="CM11" s="2434"/>
      <c r="CN11" s="2434"/>
      <c r="CO11" s="2434"/>
      <c r="CP11" s="2434"/>
      <c r="CQ11" s="2434"/>
      <c r="CR11" s="2434"/>
      <c r="CS11" s="2434"/>
      <c r="CT11" s="2434"/>
      <c r="CU11" s="2434"/>
      <c r="CV11" s="2434"/>
      <c r="CW11" s="2434"/>
      <c r="CX11" s="2453"/>
      <c r="CY11" s="2386" t="s">
        <v>1080</v>
      </c>
      <c r="CZ11" s="2387"/>
      <c r="DA11" s="2387"/>
      <c r="DB11" s="2387"/>
      <c r="DC11" s="2387"/>
      <c r="DD11" s="2387"/>
      <c r="DE11" s="2387"/>
      <c r="DF11" s="2387"/>
      <c r="DG11" s="2387"/>
      <c r="DH11" s="2387"/>
      <c r="DI11" s="2387"/>
      <c r="DJ11" s="2433"/>
      <c r="DK11" s="2436"/>
      <c r="DL11" s="2434"/>
      <c r="DM11" s="2434"/>
      <c r="DN11" s="2434"/>
      <c r="DO11" s="2434"/>
      <c r="DP11" s="2434"/>
      <c r="DQ11" s="2434"/>
      <c r="DR11" s="2434"/>
      <c r="DS11" s="2434"/>
      <c r="DT11" s="2434"/>
      <c r="DU11" s="2434"/>
      <c r="DV11" s="2434"/>
      <c r="DW11" s="2434"/>
      <c r="DX11" s="2434"/>
      <c r="DY11" s="2434"/>
      <c r="DZ11" s="2434"/>
      <c r="EA11" s="2434"/>
      <c r="EB11" s="2434"/>
      <c r="EC11" s="2434"/>
      <c r="ED11" s="2434"/>
      <c r="EE11" s="2434"/>
      <c r="EF11" s="2434"/>
      <c r="EG11" s="2434"/>
      <c r="EH11" s="2434"/>
      <c r="EI11" s="2434"/>
      <c r="EJ11" s="2434"/>
      <c r="EK11" s="2434"/>
      <c r="EL11" s="2434"/>
      <c r="EM11" s="2434"/>
      <c r="EN11" s="2434"/>
      <c r="EO11" s="2434"/>
      <c r="EP11" s="2434"/>
      <c r="EQ11" s="2434"/>
      <c r="ER11" s="2434"/>
      <c r="ES11" s="2434"/>
      <c r="ET11" s="2434"/>
      <c r="EU11" s="2434"/>
      <c r="EV11" s="2434"/>
      <c r="EW11" s="2434"/>
      <c r="EX11" s="2434"/>
      <c r="EY11" s="2434"/>
      <c r="EZ11" s="2434"/>
      <c r="FA11" s="2434"/>
      <c r="FB11" s="2434"/>
      <c r="FC11" s="2434"/>
      <c r="FD11" s="2434"/>
      <c r="FE11" s="2434"/>
      <c r="FF11" s="2434"/>
      <c r="FG11" s="2434"/>
      <c r="FH11" s="2434"/>
      <c r="FI11" s="2434"/>
      <c r="FJ11" s="2434"/>
      <c r="FK11" s="2434"/>
      <c r="FL11" s="2434"/>
      <c r="FM11" s="2434"/>
      <c r="FN11" s="2434"/>
      <c r="FO11" s="2434"/>
      <c r="FP11" s="2434"/>
      <c r="FQ11" s="2434"/>
      <c r="FR11" s="2434"/>
      <c r="FS11" s="2434"/>
      <c r="FT11" s="2434"/>
      <c r="FU11" s="2434"/>
      <c r="FV11" s="2434"/>
      <c r="FW11" s="2448"/>
      <c r="FX11" s="762"/>
      <c r="GC11" s="926">
        <v>12</v>
      </c>
    </row>
    <row customHeight="1" ht="12.75">
      <c r="D12" s="938"/>
      <c r="E12" s="937"/>
      <c r="F12" s="2205"/>
      <c r="G12" s="2205"/>
      <c r="H12" s="2437"/>
      <c r="I12" s="2437"/>
      <c r="J12" s="2438"/>
      <c r="K12" s="2438"/>
      <c r="L12" s="2438"/>
      <c r="M12" s="2438"/>
      <c r="N12" s="2438"/>
      <c r="O12" s="2209" t="s">
        <v>1081</v>
      </c>
      <c r="P12" s="2209"/>
      <c r="Q12" s="2209"/>
      <c r="R12" s="2209"/>
      <c r="S12" s="2209" t="s">
        <v>1082</v>
      </c>
      <c r="T12" s="2209"/>
      <c r="U12" s="2209"/>
      <c r="V12" s="2209"/>
      <c r="W12" s="2209"/>
      <c r="X12" s="2209"/>
      <c r="Y12" s="2209"/>
      <c r="Z12" s="2209"/>
      <c r="AA12" s="2209"/>
      <c r="AB12" s="2209"/>
      <c r="AC12" s="2434"/>
      <c r="AD12" s="2434"/>
      <c r="AE12" s="2434"/>
      <c r="AF12" s="2434"/>
      <c r="AG12" s="2434"/>
      <c r="AH12" s="2434"/>
      <c r="AI12" s="2434"/>
      <c r="AJ12" s="2434"/>
      <c r="AK12" s="2434"/>
      <c r="AL12" s="2434"/>
      <c r="AM12" s="2434"/>
      <c r="AN12" s="2434"/>
      <c r="AO12" s="2434"/>
      <c r="AP12" s="2434"/>
      <c r="AQ12" s="2434"/>
      <c r="AR12" s="2434"/>
      <c r="AS12" s="2434"/>
      <c r="AT12" s="2434"/>
      <c r="AU12" s="2434"/>
      <c r="AV12" s="2434"/>
      <c r="AW12" s="2434"/>
      <c r="AX12" s="2434"/>
      <c r="AY12" s="2434"/>
      <c r="AZ12" s="2434"/>
      <c r="BA12" s="2434"/>
      <c r="BB12" s="2434"/>
      <c r="BC12" s="2434"/>
      <c r="BD12" s="2434"/>
      <c r="BE12" s="2434"/>
      <c r="BF12" s="2434"/>
      <c r="BG12" s="2434"/>
      <c r="BH12" s="2434"/>
      <c r="BI12" s="2434"/>
      <c r="BJ12" s="2434"/>
      <c r="BK12" s="2434"/>
      <c r="BL12" s="2434"/>
      <c r="BM12" s="2434"/>
      <c r="BN12" s="2434"/>
      <c r="BO12" s="2434"/>
      <c r="BP12" s="2434"/>
      <c r="BQ12" s="2434"/>
      <c r="BR12" s="2434"/>
      <c r="BS12" s="2453"/>
      <c r="BT12" s="2386" t="s">
        <v>1083</v>
      </c>
      <c r="BU12" s="2387"/>
      <c r="BV12" s="2387"/>
      <c r="BW12" s="2433"/>
      <c r="BX12" s="2386" t="s">
        <v>1084</v>
      </c>
      <c r="BY12" s="2387"/>
      <c r="BZ12" s="2387"/>
      <c r="CA12" s="2433"/>
      <c r="CB12" s="2386" t="s">
        <v>1085</v>
      </c>
      <c r="CC12" s="2433"/>
      <c r="CD12" s="2386" t="s">
        <v>1086</v>
      </c>
      <c r="CE12" s="2387"/>
      <c r="CF12" s="2387"/>
      <c r="CG12" s="2387"/>
      <c r="CH12" s="2387"/>
      <c r="CI12" s="2387"/>
      <c r="CJ12" s="2387"/>
      <c r="CK12" s="2433"/>
      <c r="CL12" s="2436"/>
      <c r="CM12" s="2434"/>
      <c r="CN12" s="2434"/>
      <c r="CO12" s="2434"/>
      <c r="CP12" s="2434"/>
      <c r="CQ12" s="2434"/>
      <c r="CR12" s="2434"/>
      <c r="CS12" s="2434"/>
      <c r="CT12" s="2434"/>
      <c r="CU12" s="2434"/>
      <c r="CV12" s="2434"/>
      <c r="CW12" s="2434"/>
      <c r="CX12" s="2453"/>
      <c r="CY12" s="2386" t="s">
        <v>1087</v>
      </c>
      <c r="CZ12" s="2387"/>
      <c r="DA12" s="2387"/>
      <c r="DB12" s="2387"/>
      <c r="DC12" s="2387"/>
      <c r="DD12" s="2433"/>
      <c r="DE12" s="2386" t="s">
        <v>1088</v>
      </c>
      <c r="DF12" s="2433"/>
      <c r="DG12" s="2386" t="s">
        <v>1086</v>
      </c>
      <c r="DH12" s="2387"/>
      <c r="DI12" s="2387"/>
      <c r="DJ12" s="2433"/>
      <c r="DK12" s="2436"/>
      <c r="DL12" s="2434"/>
      <c r="DM12" s="2434"/>
      <c r="DN12" s="2434"/>
      <c r="DO12" s="2434"/>
      <c r="DP12" s="2434"/>
      <c r="DQ12" s="2434"/>
      <c r="DR12" s="2434"/>
      <c r="DS12" s="2434"/>
      <c r="DT12" s="2434"/>
      <c r="DU12" s="2434"/>
      <c r="DV12" s="2434"/>
      <c r="DW12" s="2434"/>
      <c r="DX12" s="2434"/>
      <c r="DY12" s="2434"/>
      <c r="DZ12" s="2434"/>
      <c r="EA12" s="2434"/>
      <c r="EB12" s="2434"/>
      <c r="EC12" s="2434"/>
      <c r="ED12" s="2434"/>
      <c r="EE12" s="2434"/>
      <c r="EF12" s="2434"/>
      <c r="EG12" s="2434"/>
      <c r="EH12" s="2434"/>
      <c r="EI12" s="2434"/>
      <c r="EJ12" s="2434"/>
      <c r="EK12" s="2434"/>
      <c r="EL12" s="2434"/>
      <c r="EM12" s="2434"/>
      <c r="EN12" s="2434"/>
      <c r="EO12" s="2434"/>
      <c r="EP12" s="2434"/>
      <c r="EQ12" s="2434"/>
      <c r="ER12" s="2434"/>
      <c r="ES12" s="2434"/>
      <c r="ET12" s="2434"/>
      <c r="EU12" s="2434"/>
      <c r="EV12" s="2434"/>
      <c r="EW12" s="2434"/>
      <c r="EX12" s="2434"/>
      <c r="EY12" s="2434"/>
      <c r="EZ12" s="2434"/>
      <c r="FA12" s="2434"/>
      <c r="FB12" s="2434"/>
      <c r="FC12" s="2434"/>
      <c r="FD12" s="2434"/>
      <c r="FE12" s="2434"/>
      <c r="FF12" s="2434"/>
      <c r="FG12" s="2434"/>
      <c r="FH12" s="2434"/>
      <c r="FI12" s="2434"/>
      <c r="FJ12" s="2434"/>
      <c r="FK12" s="2434"/>
      <c r="FL12" s="2434"/>
      <c r="FM12" s="2434"/>
      <c r="FN12" s="2434"/>
      <c r="FO12" s="2434"/>
      <c r="FP12" s="2434"/>
      <c r="FQ12" s="2434"/>
      <c r="FR12" s="2434"/>
      <c r="FS12" s="2434"/>
      <c r="FT12" s="2434"/>
      <c r="FU12" s="2434"/>
      <c r="FV12" s="2434"/>
      <c r="FW12" s="2448"/>
      <c r="FX12" s="762"/>
      <c r="GC12" s="926">
        <v>12</v>
      </c>
    </row>
    <row customHeight="1" ht="37.8">
      <c r="D13" s="938"/>
      <c r="E13" s="937"/>
      <c r="F13" s="2205"/>
      <c r="G13" s="2205"/>
      <c r="H13" s="2437"/>
      <c r="I13" s="2437"/>
      <c r="J13" s="2438"/>
      <c r="K13" s="2438"/>
      <c r="L13" s="2438"/>
      <c r="M13" s="2438"/>
      <c r="N13" s="2438"/>
      <c r="O13" s="2209" t="s">
        <v>1089</v>
      </c>
      <c r="P13" s="2209"/>
      <c r="Q13" s="2209"/>
      <c r="R13" s="2209"/>
      <c r="S13" s="2336" t="s">
        <v>1090</v>
      </c>
      <c r="T13" s="2388"/>
      <c r="U13" s="2127" t="s">
        <v>1091</v>
      </c>
      <c r="V13" s="2127"/>
      <c r="W13" s="2127"/>
      <c r="X13" s="2127"/>
      <c r="Y13" s="2127" t="s">
        <v>1092</v>
      </c>
      <c r="Z13" s="2127"/>
      <c r="AA13" s="2127"/>
      <c r="AB13" s="2127"/>
      <c r="AC13" s="2434"/>
      <c r="AD13" s="2434"/>
      <c r="AE13" s="2434"/>
      <c r="AF13" s="2434"/>
      <c r="AG13" s="2434"/>
      <c r="AH13" s="2434"/>
      <c r="AI13" s="2434"/>
      <c r="AJ13" s="2434"/>
      <c r="AK13" s="2434"/>
      <c r="AL13" s="2434"/>
      <c r="AM13" s="2434"/>
      <c r="AN13" s="2434"/>
      <c r="AO13" s="2434"/>
      <c r="AP13" s="2434"/>
      <c r="AQ13" s="2434"/>
      <c r="AR13" s="2434"/>
      <c r="AS13" s="2434"/>
      <c r="AT13" s="2434"/>
      <c r="AU13" s="2434"/>
      <c r="AV13" s="2434"/>
      <c r="AW13" s="2434"/>
      <c r="AX13" s="2434"/>
      <c r="AY13" s="2434"/>
      <c r="AZ13" s="2434"/>
      <c r="BA13" s="2434"/>
      <c r="BB13" s="2434"/>
      <c r="BC13" s="2434"/>
      <c r="BD13" s="2434"/>
      <c r="BE13" s="2434"/>
      <c r="BF13" s="2434"/>
      <c r="BG13" s="2434"/>
      <c r="BH13" s="2434"/>
      <c r="BI13" s="2434"/>
      <c r="BJ13" s="2434"/>
      <c r="BK13" s="2434"/>
      <c r="BL13" s="2434"/>
      <c r="BM13" s="2434"/>
      <c r="BN13" s="2434"/>
      <c r="BO13" s="2434"/>
      <c r="BP13" s="2434"/>
      <c r="BQ13" s="2434"/>
      <c r="BR13" s="2434"/>
      <c r="BS13" s="2453"/>
      <c r="BT13" s="2336" t="s">
        <v>1093</v>
      </c>
      <c r="BU13" s="2388"/>
      <c r="BV13" s="2336" t="s">
        <v>1094</v>
      </c>
      <c r="BW13" s="2388"/>
      <c r="BX13" s="2336" t="s">
        <v>1095</v>
      </c>
      <c r="BY13" s="2388"/>
      <c r="BZ13" s="2336" t="s">
        <v>1096</v>
      </c>
      <c r="CA13" s="2388"/>
      <c r="CB13" s="2336" t="s">
        <v>1097</v>
      </c>
      <c r="CC13" s="2388"/>
      <c r="CD13" s="2336" t="s">
        <v>1098</v>
      </c>
      <c r="CE13" s="2388"/>
      <c r="CF13" s="2336" t="s">
        <v>1099</v>
      </c>
      <c r="CG13" s="2388"/>
      <c r="CH13" s="2386" t="s">
        <v>1100</v>
      </c>
      <c r="CI13" s="2387"/>
      <c r="CJ13" s="2387"/>
      <c r="CK13" s="2433"/>
      <c r="CL13" s="2436"/>
      <c r="CM13" s="2434"/>
      <c r="CN13" s="2434"/>
      <c r="CO13" s="2434"/>
      <c r="CP13" s="2434"/>
      <c r="CQ13" s="2434"/>
      <c r="CR13" s="2434"/>
      <c r="CS13" s="2434"/>
      <c r="CT13" s="2434"/>
      <c r="CU13" s="2434"/>
      <c r="CV13" s="2434"/>
      <c r="CW13" s="2434"/>
      <c r="CX13" s="2453"/>
      <c r="CY13" s="2336" t="s">
        <v>1101</v>
      </c>
      <c r="CZ13" s="2388"/>
      <c r="DA13" s="2336" t="s">
        <v>1102</v>
      </c>
      <c r="DB13" s="2388"/>
      <c r="DC13" s="2336" t="s">
        <v>1103</v>
      </c>
      <c r="DD13" s="2388"/>
      <c r="DE13" s="2336" t="s">
        <v>1104</v>
      </c>
      <c r="DF13" s="2388"/>
      <c r="DG13" s="2386" t="s">
        <v>1105</v>
      </c>
      <c r="DH13" s="2387"/>
      <c r="DI13" s="2387"/>
      <c r="DJ13" s="2433"/>
      <c r="DK13" s="2436"/>
      <c r="DL13" s="2434"/>
      <c r="DM13" s="2434"/>
      <c r="DN13" s="2434"/>
      <c r="DO13" s="2434"/>
      <c r="DP13" s="2434"/>
      <c r="DQ13" s="2434"/>
      <c r="DR13" s="2434"/>
      <c r="DS13" s="2434"/>
      <c r="DT13" s="2434"/>
      <c r="DU13" s="2434"/>
      <c r="DV13" s="2434"/>
      <c r="DW13" s="2434"/>
      <c r="DX13" s="2434"/>
      <c r="DY13" s="2434"/>
      <c r="DZ13" s="2434"/>
      <c r="EA13" s="2434"/>
      <c r="EB13" s="2434"/>
      <c r="EC13" s="2434"/>
      <c r="ED13" s="2434"/>
      <c r="EE13" s="2434"/>
      <c r="EF13" s="2434"/>
      <c r="EG13" s="2434"/>
      <c r="EH13" s="2434"/>
      <c r="EI13" s="2434"/>
      <c r="EJ13" s="2434"/>
      <c r="EK13" s="2434"/>
      <c r="EL13" s="2434"/>
      <c r="EM13" s="2434"/>
      <c r="EN13" s="2434"/>
      <c r="EO13" s="2434"/>
      <c r="EP13" s="2434"/>
      <c r="EQ13" s="2434"/>
      <c r="ER13" s="2434"/>
      <c r="ES13" s="2434"/>
      <c r="ET13" s="2434"/>
      <c r="EU13" s="2434"/>
      <c r="EV13" s="2434"/>
      <c r="EW13" s="2434"/>
      <c r="EX13" s="2434"/>
      <c r="EY13" s="2434"/>
      <c r="EZ13" s="2434"/>
      <c r="FA13" s="2434"/>
      <c r="FB13" s="2434"/>
      <c r="FC13" s="2434"/>
      <c r="FD13" s="2434"/>
      <c r="FE13" s="2434"/>
      <c r="FF13" s="2434"/>
      <c r="FG13" s="2434"/>
      <c r="FH13" s="2434"/>
      <c r="FI13" s="2434"/>
      <c r="FJ13" s="2434"/>
      <c r="FK13" s="2434"/>
      <c r="FL13" s="2434"/>
      <c r="FM13" s="2434"/>
      <c r="FN13" s="2434"/>
      <c r="FO13" s="2434"/>
      <c r="FP13" s="2434"/>
      <c r="FQ13" s="2434"/>
      <c r="FR13" s="2434"/>
      <c r="FS13" s="2434"/>
      <c r="FT13" s="2434"/>
      <c r="FU13" s="2434"/>
      <c r="FV13" s="2434"/>
      <c r="FW13" s="2448"/>
      <c r="FX13" s="762"/>
      <c r="GC13" s="926">
        <v>36</v>
      </c>
    </row>
    <row customHeight="1" ht="37.8">
      <c r="D14" s="938"/>
      <c r="E14" s="937"/>
      <c r="F14" s="2205"/>
      <c r="G14" s="2205"/>
      <c r="H14" s="2437"/>
      <c r="I14" s="2437"/>
      <c r="J14" s="2438"/>
      <c r="K14" s="2438"/>
      <c r="L14" s="2438"/>
      <c r="M14" s="2438"/>
      <c r="N14" s="2438"/>
      <c r="O14" s="2336" t="s">
        <v>1106</v>
      </c>
      <c r="P14" s="2388"/>
      <c r="Q14" s="2336" t="s">
        <v>1107</v>
      </c>
      <c r="R14" s="2388"/>
      <c r="S14" s="2337"/>
      <c r="T14" s="2213"/>
      <c r="U14" s="2336" t="s">
        <v>838</v>
      </c>
      <c r="V14" s="2388"/>
      <c r="W14" s="2336" t="s">
        <v>841</v>
      </c>
      <c r="X14" s="2388"/>
      <c r="Y14" s="2336" t="s">
        <v>838</v>
      </c>
      <c r="Z14" s="2388"/>
      <c r="AA14" s="2336" t="s">
        <v>848</v>
      </c>
      <c r="AB14" s="2388"/>
      <c r="AC14" s="2434"/>
      <c r="AD14" s="2434"/>
      <c r="AE14" s="2434"/>
      <c r="AF14" s="2434"/>
      <c r="AG14" s="2434"/>
      <c r="AH14" s="2434"/>
      <c r="AI14" s="2434"/>
      <c r="AJ14" s="2434"/>
      <c r="AK14" s="2434"/>
      <c r="AL14" s="2434"/>
      <c r="AM14" s="2434"/>
      <c r="AN14" s="2434"/>
      <c r="AO14" s="2434"/>
      <c r="AP14" s="2434"/>
      <c r="AQ14" s="2434"/>
      <c r="AR14" s="2434"/>
      <c r="AS14" s="2434"/>
      <c r="AT14" s="2434"/>
      <c r="AU14" s="2434"/>
      <c r="AV14" s="2434"/>
      <c r="AW14" s="2434"/>
      <c r="AX14" s="2434"/>
      <c r="AY14" s="2434"/>
      <c r="AZ14" s="2434"/>
      <c r="BA14" s="2434"/>
      <c r="BB14" s="2434"/>
      <c r="BC14" s="2434"/>
      <c r="BD14" s="2434"/>
      <c r="BE14" s="2434"/>
      <c r="BF14" s="2434"/>
      <c r="BG14" s="2434"/>
      <c r="BH14" s="2434"/>
      <c r="BI14" s="2434"/>
      <c r="BJ14" s="2434"/>
      <c r="BK14" s="2434"/>
      <c r="BL14" s="2434"/>
      <c r="BM14" s="2434"/>
      <c r="BN14" s="2434"/>
      <c r="BO14" s="2434"/>
      <c r="BP14" s="2434"/>
      <c r="BQ14" s="2434"/>
      <c r="BR14" s="2434"/>
      <c r="BS14" s="2453"/>
      <c r="BT14" s="2337"/>
      <c r="BU14" s="2213"/>
      <c r="BV14" s="2337"/>
      <c r="BW14" s="2213"/>
      <c r="BX14" s="2337"/>
      <c r="BY14" s="2213"/>
      <c r="BZ14" s="2337"/>
      <c r="CA14" s="2213"/>
      <c r="CB14" s="2337"/>
      <c r="CC14" s="2213"/>
      <c r="CD14" s="2337"/>
      <c r="CE14" s="2213"/>
      <c r="CF14" s="2337"/>
      <c r="CG14" s="2213"/>
      <c r="CH14" s="2336" t="s">
        <v>1108</v>
      </c>
      <c r="CI14" s="2388"/>
      <c r="CJ14" s="2336" t="s">
        <v>1109</v>
      </c>
      <c r="CK14" s="2388"/>
      <c r="CL14" s="2436"/>
      <c r="CM14" s="2434"/>
      <c r="CN14" s="2434"/>
      <c r="CO14" s="2434"/>
      <c r="CP14" s="2434"/>
      <c r="CQ14" s="2434"/>
      <c r="CR14" s="2434"/>
      <c r="CS14" s="2434"/>
      <c r="CT14" s="2434"/>
      <c r="CU14" s="2434"/>
      <c r="CV14" s="2434"/>
      <c r="CW14" s="2434"/>
      <c r="CX14" s="2453"/>
      <c r="CY14" s="2337"/>
      <c r="CZ14" s="2213"/>
      <c r="DA14" s="2337"/>
      <c r="DB14" s="2213"/>
      <c r="DC14" s="2337"/>
      <c r="DD14" s="2213"/>
      <c r="DE14" s="2337"/>
      <c r="DF14" s="2213"/>
      <c r="DG14" s="2336" t="s">
        <v>1110</v>
      </c>
      <c r="DH14" s="2388"/>
      <c r="DI14" s="2336" t="s">
        <v>1111</v>
      </c>
      <c r="DJ14" s="2388"/>
      <c r="DK14" s="2436"/>
      <c r="DL14" s="2434"/>
      <c r="DM14" s="2434"/>
      <c r="DN14" s="2434"/>
      <c r="DO14" s="2434"/>
      <c r="DP14" s="2434"/>
      <c r="DQ14" s="2434"/>
      <c r="DR14" s="2434"/>
      <c r="DS14" s="2434"/>
      <c r="DT14" s="2434"/>
      <c r="DU14" s="2434"/>
      <c r="DV14" s="2434"/>
      <c r="DW14" s="2434"/>
      <c r="DX14" s="2434"/>
      <c r="DY14" s="2434"/>
      <c r="DZ14" s="2434"/>
      <c r="EA14" s="2434"/>
      <c r="EB14" s="2434"/>
      <c r="EC14" s="2434"/>
      <c r="ED14" s="2434"/>
      <c r="EE14" s="2434"/>
      <c r="EF14" s="2434"/>
      <c r="EG14" s="2434"/>
      <c r="EH14" s="2434"/>
      <c r="EI14" s="2434"/>
      <c r="EJ14" s="2434"/>
      <c r="EK14" s="2434"/>
      <c r="EL14" s="2434"/>
      <c r="EM14" s="2434"/>
      <c r="EN14" s="2434"/>
      <c r="EO14" s="2434"/>
      <c r="EP14" s="2434"/>
      <c r="EQ14" s="2434"/>
      <c r="ER14" s="2434"/>
      <c r="ES14" s="2434"/>
      <c r="ET14" s="2434"/>
      <c r="EU14" s="2434"/>
      <c r="EV14" s="2434"/>
      <c r="EW14" s="2434"/>
      <c r="EX14" s="2434"/>
      <c r="EY14" s="2434"/>
      <c r="EZ14" s="2434"/>
      <c r="FA14" s="2434"/>
      <c r="FB14" s="2434"/>
      <c r="FC14" s="2434"/>
      <c r="FD14" s="2434"/>
      <c r="FE14" s="2434"/>
      <c r="FF14" s="2434"/>
      <c r="FG14" s="2434"/>
      <c r="FH14" s="2434"/>
      <c r="FI14" s="2434"/>
      <c r="FJ14" s="2434"/>
      <c r="FK14" s="2434"/>
      <c r="FL14" s="2434"/>
      <c r="FM14" s="2434"/>
      <c r="FN14" s="2434"/>
      <c r="FO14" s="2434"/>
      <c r="FP14" s="2434"/>
      <c r="FQ14" s="2434"/>
      <c r="FR14" s="2434"/>
      <c r="FS14" s="2434"/>
      <c r="FT14" s="2434"/>
      <c r="FU14" s="2434"/>
      <c r="FV14" s="2434"/>
      <c r="FW14" s="2448"/>
      <c r="FX14" s="762"/>
      <c r="GC14" s="926">
        <v>36</v>
      </c>
    </row>
    <row customHeight="1" ht="37.8">
      <c r="D15" s="938"/>
      <c r="E15" s="937"/>
      <c r="F15" s="2205"/>
      <c r="G15" s="2205"/>
      <c r="H15" s="2437"/>
      <c r="I15" s="2437"/>
      <c r="J15" s="2438"/>
      <c r="K15" s="2438"/>
      <c r="L15" s="2438"/>
      <c r="M15" s="2438"/>
      <c r="N15" s="2438"/>
      <c r="O15" s="2338"/>
      <c r="P15" s="2435"/>
      <c r="Q15" s="2338"/>
      <c r="R15" s="2435"/>
      <c r="S15" s="2338"/>
      <c r="T15" s="2435"/>
      <c r="U15" s="2338"/>
      <c r="V15" s="2435"/>
      <c r="W15" s="2338"/>
      <c r="X15" s="2435"/>
      <c r="Y15" s="2338"/>
      <c r="Z15" s="2435"/>
      <c r="AA15" s="2338"/>
      <c r="AB15" s="2435"/>
      <c r="AC15" s="2434"/>
      <c r="AD15" s="2434"/>
      <c r="AE15" s="2434"/>
      <c r="AF15" s="2434"/>
      <c r="AG15" s="2434"/>
      <c r="AH15" s="2434"/>
      <c r="AI15" s="2434"/>
      <c r="AJ15" s="2434"/>
      <c r="AK15" s="2434"/>
      <c r="AL15" s="2434"/>
      <c r="AM15" s="2434"/>
      <c r="AN15" s="2434"/>
      <c r="AO15" s="2434"/>
      <c r="AP15" s="2434"/>
      <c r="AQ15" s="2434"/>
      <c r="AR15" s="2434"/>
      <c r="AS15" s="2434"/>
      <c r="AT15" s="2434"/>
      <c r="AU15" s="2434"/>
      <c r="AV15" s="2434"/>
      <c r="AW15" s="2434"/>
      <c r="AX15" s="2434"/>
      <c r="AY15" s="2434"/>
      <c r="AZ15" s="2434"/>
      <c r="BA15" s="2434"/>
      <c r="BB15" s="2434"/>
      <c r="BC15" s="2434"/>
      <c r="BD15" s="2434"/>
      <c r="BE15" s="2434"/>
      <c r="BF15" s="2434"/>
      <c r="BG15" s="2434"/>
      <c r="BH15" s="2434"/>
      <c r="BI15" s="2434"/>
      <c r="BJ15" s="2434"/>
      <c r="BK15" s="2434"/>
      <c r="BL15" s="2434"/>
      <c r="BM15" s="2434"/>
      <c r="BN15" s="2434"/>
      <c r="BO15" s="2434"/>
      <c r="BP15" s="2434"/>
      <c r="BQ15" s="2434"/>
      <c r="BR15" s="2434"/>
      <c r="BS15" s="2453"/>
      <c r="BT15" s="2338"/>
      <c r="BU15" s="2435"/>
      <c r="BV15" s="2338"/>
      <c r="BW15" s="2435"/>
      <c r="BX15" s="2338"/>
      <c r="BY15" s="2435"/>
      <c r="BZ15" s="2338"/>
      <c r="CA15" s="2435"/>
      <c r="CB15" s="2338"/>
      <c r="CC15" s="2435"/>
      <c r="CD15" s="2338"/>
      <c r="CE15" s="2435"/>
      <c r="CF15" s="2338"/>
      <c r="CG15" s="2435"/>
      <c r="CH15" s="2338"/>
      <c r="CI15" s="2435"/>
      <c r="CJ15" s="2338"/>
      <c r="CK15" s="2435"/>
      <c r="CL15" s="2436"/>
      <c r="CM15" s="2434"/>
      <c r="CN15" s="2434"/>
      <c r="CO15" s="2434"/>
      <c r="CP15" s="2434"/>
      <c r="CQ15" s="2434"/>
      <c r="CR15" s="2434"/>
      <c r="CS15" s="2434"/>
      <c r="CT15" s="2434"/>
      <c r="CU15" s="2434"/>
      <c r="CV15" s="2434"/>
      <c r="CW15" s="2434"/>
      <c r="CX15" s="2453"/>
      <c r="CY15" s="2338"/>
      <c r="CZ15" s="2435"/>
      <c r="DA15" s="2338"/>
      <c r="DB15" s="2435"/>
      <c r="DC15" s="2338"/>
      <c r="DD15" s="2435"/>
      <c r="DE15" s="2338"/>
      <c r="DF15" s="2435"/>
      <c r="DG15" s="2338"/>
      <c r="DH15" s="2435"/>
      <c r="DI15" s="2338"/>
      <c r="DJ15" s="2435"/>
      <c r="DK15" s="2436"/>
      <c r="DL15" s="2434"/>
      <c r="DM15" s="2434"/>
      <c r="DN15" s="2434"/>
      <c r="DO15" s="2434"/>
      <c r="DP15" s="2434"/>
      <c r="DQ15" s="2434"/>
      <c r="DR15" s="2434"/>
      <c r="DS15" s="2434"/>
      <c r="DT15" s="2434"/>
      <c r="DU15" s="2434"/>
      <c r="DV15" s="2434"/>
      <c r="DW15" s="2434"/>
      <c r="DX15" s="2434"/>
      <c r="DY15" s="2434"/>
      <c r="DZ15" s="2434"/>
      <c r="EA15" s="2434"/>
      <c r="EB15" s="2434"/>
      <c r="EC15" s="2434"/>
      <c r="ED15" s="2434"/>
      <c r="EE15" s="2434"/>
      <c r="EF15" s="2434"/>
      <c r="EG15" s="2434"/>
      <c r="EH15" s="2434"/>
      <c r="EI15" s="2434"/>
      <c r="EJ15" s="2434"/>
      <c r="EK15" s="2434"/>
      <c r="EL15" s="2434"/>
      <c r="EM15" s="2434"/>
      <c r="EN15" s="2434"/>
      <c r="EO15" s="2434"/>
      <c r="EP15" s="2434"/>
      <c r="EQ15" s="2434"/>
      <c r="ER15" s="2434"/>
      <c r="ES15" s="2434"/>
      <c r="ET15" s="2434"/>
      <c r="EU15" s="2434"/>
      <c r="EV15" s="2434"/>
      <c r="EW15" s="2434"/>
      <c r="EX15" s="2434"/>
      <c r="EY15" s="2434"/>
      <c r="EZ15" s="2434"/>
      <c r="FA15" s="2434"/>
      <c r="FB15" s="2434"/>
      <c r="FC15" s="2434"/>
      <c r="FD15" s="2434"/>
      <c r="FE15" s="2434"/>
      <c r="FF15" s="2434"/>
      <c r="FG15" s="2434"/>
      <c r="FH15" s="2434"/>
      <c r="FI15" s="2434"/>
      <c r="FJ15" s="2434"/>
      <c r="FK15" s="2434"/>
      <c r="FL15" s="2434"/>
      <c r="FM15" s="2434"/>
      <c r="FN15" s="2434"/>
      <c r="FO15" s="2434"/>
      <c r="FP15" s="2434"/>
      <c r="FQ15" s="2434"/>
      <c r="FR15" s="2434"/>
      <c r="FS15" s="2434"/>
      <c r="FT15" s="2434"/>
      <c r="FU15" s="2434"/>
      <c r="FV15" s="2434"/>
      <c r="FW15" s="2448"/>
      <c r="FX15" s="762"/>
      <c r="GC15" s="926">
        <v>36</v>
      </c>
    </row>
    <row customHeight="1" ht="12.75">
      <c r="D16" s="938"/>
      <c r="E16" s="937"/>
      <c r="F16" s="2205"/>
      <c r="G16" s="2205"/>
      <c r="H16" s="2437"/>
      <c r="I16" s="2437"/>
      <c r="J16" s="2438"/>
      <c r="K16" s="2438"/>
      <c r="L16" s="2438"/>
      <c r="M16" s="2438"/>
      <c r="N16" s="2438"/>
      <c r="O16" s="2386" t="s">
        <v>828</v>
      </c>
      <c r="P16" s="2433"/>
      <c r="Q16" s="2386" t="s">
        <v>830</v>
      </c>
      <c r="R16" s="2433"/>
      <c r="S16" s="2386" t="s">
        <v>834</v>
      </c>
      <c r="T16" s="2433"/>
      <c r="U16" s="2386" t="s">
        <v>839</v>
      </c>
      <c r="V16" s="2433"/>
      <c r="W16" s="2386" t="s">
        <v>842</v>
      </c>
      <c r="X16" s="2433"/>
      <c r="Y16" s="2386" t="s">
        <v>846</v>
      </c>
      <c r="Z16" s="2433"/>
      <c r="AA16" s="2386" t="s">
        <v>849</v>
      </c>
      <c r="AB16" s="2433"/>
      <c r="AC16" s="2434"/>
      <c r="AD16" s="2434"/>
      <c r="AE16" s="2434"/>
      <c r="AF16" s="2434"/>
      <c r="AG16" s="2434"/>
      <c r="AH16" s="2434"/>
      <c r="AI16" s="2434"/>
      <c r="AJ16" s="2434"/>
      <c r="AK16" s="2434"/>
      <c r="AL16" s="2434"/>
      <c r="AM16" s="2434"/>
      <c r="AN16" s="2434"/>
      <c r="AO16" s="2434"/>
      <c r="AP16" s="2434"/>
      <c r="AQ16" s="2434"/>
      <c r="AR16" s="2434"/>
      <c r="AS16" s="2434"/>
      <c r="AT16" s="2434"/>
      <c r="AU16" s="2434"/>
      <c r="AV16" s="2434"/>
      <c r="AW16" s="2434"/>
      <c r="AX16" s="2434"/>
      <c r="AY16" s="2434"/>
      <c r="AZ16" s="2434"/>
      <c r="BA16" s="2434"/>
      <c r="BB16" s="2434"/>
      <c r="BC16" s="2434"/>
      <c r="BD16" s="2434"/>
      <c r="BE16" s="2434"/>
      <c r="BF16" s="2434"/>
      <c r="BG16" s="2434"/>
      <c r="BH16" s="2434"/>
      <c r="BI16" s="2434"/>
      <c r="BJ16" s="2434"/>
      <c r="BK16" s="2434"/>
      <c r="BL16" s="2434"/>
      <c r="BM16" s="2434"/>
      <c r="BN16" s="2434"/>
      <c r="BO16" s="2434"/>
      <c r="BP16" s="2434"/>
      <c r="BQ16" s="2434"/>
      <c r="BR16" s="2434"/>
      <c r="BS16" s="2453"/>
      <c r="BT16" s="2386" t="s">
        <v>560</v>
      </c>
      <c r="BU16" s="2433"/>
      <c r="BV16" s="2386" t="s">
        <v>560</v>
      </c>
      <c r="BW16" s="2433"/>
      <c r="BX16" s="2386" t="s">
        <v>560</v>
      </c>
      <c r="BY16" s="2433"/>
      <c r="BZ16" s="2386" t="s">
        <v>560</v>
      </c>
      <c r="CA16" s="2433"/>
      <c r="CB16" s="2386" t="s">
        <v>1112</v>
      </c>
      <c r="CC16" s="2433"/>
      <c r="CD16" s="2386" t="s">
        <v>560</v>
      </c>
      <c r="CE16" s="2433"/>
      <c r="CF16" s="2386" t="s">
        <v>1113</v>
      </c>
      <c r="CG16" s="2433"/>
      <c r="CH16" s="2386" t="s">
        <v>1114</v>
      </c>
      <c r="CI16" s="2433"/>
      <c r="CJ16" s="2386" t="s">
        <v>1114</v>
      </c>
      <c r="CK16" s="2433"/>
      <c r="CL16" s="2436"/>
      <c r="CM16" s="2434"/>
      <c r="CN16" s="2434"/>
      <c r="CO16" s="2434"/>
      <c r="CP16" s="2434"/>
      <c r="CQ16" s="2434"/>
      <c r="CR16" s="2434"/>
      <c r="CS16" s="2434"/>
      <c r="CT16" s="2434"/>
      <c r="CU16" s="2434"/>
      <c r="CV16" s="2434"/>
      <c r="CW16" s="2434"/>
      <c r="CX16" s="2453"/>
      <c r="CY16" s="2336" t="s">
        <v>560</v>
      </c>
      <c r="CZ16" s="2388"/>
      <c r="DA16" s="2336" t="s">
        <v>560</v>
      </c>
      <c r="DB16" s="2388"/>
      <c r="DC16" s="2336" t="s">
        <v>560</v>
      </c>
      <c r="DD16" s="2388"/>
      <c r="DE16" s="2386" t="s">
        <v>1112</v>
      </c>
      <c r="DF16" s="2433"/>
      <c r="DG16" s="2386" t="s">
        <v>1115</v>
      </c>
      <c r="DH16" s="2433"/>
      <c r="DI16" s="2386" t="s">
        <v>1115</v>
      </c>
      <c r="DJ16" s="2433"/>
      <c r="DK16" s="2436"/>
      <c r="DL16" s="2434"/>
      <c r="DM16" s="2434"/>
      <c r="DN16" s="2434"/>
      <c r="DO16" s="2434"/>
      <c r="DP16" s="2434"/>
      <c r="DQ16" s="2434"/>
      <c r="DR16" s="2434"/>
      <c r="DS16" s="2434"/>
      <c r="DT16" s="2434"/>
      <c r="DU16" s="2434"/>
      <c r="DV16" s="2434"/>
      <c r="DW16" s="2434"/>
      <c r="DX16" s="2434"/>
      <c r="DY16" s="2434"/>
      <c r="DZ16" s="2434"/>
      <c r="EA16" s="2434"/>
      <c r="EB16" s="2434"/>
      <c r="EC16" s="2434"/>
      <c r="ED16" s="2434"/>
      <c r="EE16" s="2434"/>
      <c r="EF16" s="2434"/>
      <c r="EG16" s="2434"/>
      <c r="EH16" s="2434"/>
      <c r="EI16" s="2434"/>
      <c r="EJ16" s="2434"/>
      <c r="EK16" s="2434"/>
      <c r="EL16" s="2434"/>
      <c r="EM16" s="2434"/>
      <c r="EN16" s="2434"/>
      <c r="EO16" s="2434"/>
      <c r="EP16" s="2434"/>
      <c r="EQ16" s="2434"/>
      <c r="ER16" s="2434"/>
      <c r="ES16" s="2434"/>
      <c r="ET16" s="2434"/>
      <c r="EU16" s="2434"/>
      <c r="EV16" s="2434"/>
      <c r="EW16" s="2434"/>
      <c r="EX16" s="2434"/>
      <c r="EY16" s="2434"/>
      <c r="EZ16" s="2434"/>
      <c r="FA16" s="2434"/>
      <c r="FB16" s="2434"/>
      <c r="FC16" s="2434"/>
      <c r="FD16" s="2434"/>
      <c r="FE16" s="2434"/>
      <c r="FF16" s="2434"/>
      <c r="FG16" s="2434"/>
      <c r="FH16" s="2434"/>
      <c r="FI16" s="2434"/>
      <c r="FJ16" s="2434"/>
      <c r="FK16" s="2434"/>
      <c r="FL16" s="2434"/>
      <c r="FM16" s="2434"/>
      <c r="FN16" s="2434"/>
      <c r="FO16" s="2434"/>
      <c r="FP16" s="2434"/>
      <c r="FQ16" s="2434"/>
      <c r="FR16" s="2434"/>
      <c r="FS16" s="2434"/>
      <c r="FT16" s="2434"/>
      <c r="FU16" s="2434"/>
      <c r="FV16" s="2434"/>
      <c r="FW16" s="2448"/>
      <c r="FX16" s="762"/>
      <c r="GC16" s="926">
        <v>12</v>
      </c>
    </row>
    <row customHeight="1" ht="15.75">
      <c r="E17" s="937"/>
      <c r="F17" s="2205"/>
      <c r="G17" s="2205"/>
      <c r="H17" s="2437"/>
      <c r="I17" s="2437"/>
      <c r="J17" s="2438"/>
      <c r="K17" s="2438"/>
      <c r="L17" s="2438"/>
      <c r="M17" s="2438"/>
      <c r="N17" s="2438"/>
      <c r="O17" s="1191" t="s">
        <v>1116</v>
      </c>
      <c r="P17" s="1191" t="s">
        <v>1117</v>
      </c>
      <c r="Q17" s="1191" t="s">
        <v>1116</v>
      </c>
      <c r="R17" s="1191" t="s">
        <v>1117</v>
      </c>
      <c r="S17" s="1191" t="s">
        <v>1116</v>
      </c>
      <c r="T17" s="1191" t="s">
        <v>1117</v>
      </c>
      <c r="U17" s="1191" t="s">
        <v>1116</v>
      </c>
      <c r="V17" s="1191" t="s">
        <v>1117</v>
      </c>
      <c r="W17" s="1191" t="s">
        <v>1116</v>
      </c>
      <c r="X17" s="1191" t="s">
        <v>1117</v>
      </c>
      <c r="Y17" s="1191" t="s">
        <v>1116</v>
      </c>
      <c r="Z17" s="1191" t="s">
        <v>1117</v>
      </c>
      <c r="AA17" s="1191" t="s">
        <v>1116</v>
      </c>
      <c r="AB17" s="1191" t="s">
        <v>1117</v>
      </c>
      <c r="AC17" s="2434"/>
      <c r="AD17" s="2434"/>
      <c r="AE17" s="2434"/>
      <c r="AF17" s="2434"/>
      <c r="AG17" s="2434"/>
      <c r="AH17" s="2434"/>
      <c r="AI17" s="2434"/>
      <c r="AJ17" s="2434"/>
      <c r="AK17" s="2434"/>
      <c r="AL17" s="2434"/>
      <c r="AM17" s="2434"/>
      <c r="AN17" s="2434"/>
      <c r="AO17" s="2434"/>
      <c r="AP17" s="2434"/>
      <c r="AQ17" s="2434"/>
      <c r="AR17" s="2434"/>
      <c r="AS17" s="2434"/>
      <c r="AT17" s="2434"/>
      <c r="AU17" s="2434"/>
      <c r="AV17" s="2434"/>
      <c r="AW17" s="2434"/>
      <c r="AX17" s="2434"/>
      <c r="AY17" s="2434"/>
      <c r="AZ17" s="2434"/>
      <c r="BA17" s="2434"/>
      <c r="BB17" s="2434"/>
      <c r="BC17" s="2434"/>
      <c r="BD17" s="2434"/>
      <c r="BE17" s="2434"/>
      <c r="BF17" s="2434"/>
      <c r="BG17" s="2434"/>
      <c r="BH17" s="2434"/>
      <c r="BI17" s="2434"/>
      <c r="BJ17" s="2434"/>
      <c r="BK17" s="2434"/>
      <c r="BL17" s="2434"/>
      <c r="BM17" s="2434"/>
      <c r="BN17" s="2434"/>
      <c r="BO17" s="2434"/>
      <c r="BP17" s="2434"/>
      <c r="BQ17" s="2434"/>
      <c r="BR17" s="2434"/>
      <c r="BS17" s="2453"/>
      <c r="BT17" s="1191" t="s">
        <v>1116</v>
      </c>
      <c r="BU17" s="1191" t="s">
        <v>1117</v>
      </c>
      <c r="BV17" s="1191" t="s">
        <v>1116</v>
      </c>
      <c r="BW17" s="1191" t="s">
        <v>1117</v>
      </c>
      <c r="BX17" s="1191" t="s">
        <v>1116</v>
      </c>
      <c r="BY17" s="1191" t="s">
        <v>1117</v>
      </c>
      <c r="BZ17" s="1191" t="s">
        <v>1116</v>
      </c>
      <c r="CA17" s="1191" t="s">
        <v>1117</v>
      </c>
      <c r="CB17" s="1191" t="s">
        <v>1116</v>
      </c>
      <c r="CC17" s="1191" t="s">
        <v>1117</v>
      </c>
      <c r="CD17" s="1191" t="s">
        <v>1116</v>
      </c>
      <c r="CE17" s="1191" t="s">
        <v>1117</v>
      </c>
      <c r="CF17" s="1191" t="s">
        <v>1116</v>
      </c>
      <c r="CG17" s="1191" t="s">
        <v>1117</v>
      </c>
      <c r="CH17" s="1191" t="s">
        <v>1116</v>
      </c>
      <c r="CI17" s="1191" t="s">
        <v>1117</v>
      </c>
      <c r="CJ17" s="1191" t="s">
        <v>1116</v>
      </c>
      <c r="CK17" s="1191" t="s">
        <v>1117</v>
      </c>
      <c r="CL17" s="2436"/>
      <c r="CM17" s="2434"/>
      <c r="CN17" s="2434"/>
      <c r="CO17" s="2434"/>
      <c r="CP17" s="2434"/>
      <c r="CQ17" s="2434"/>
      <c r="CR17" s="2434"/>
      <c r="CS17" s="2434"/>
      <c r="CT17" s="2434"/>
      <c r="CU17" s="2434"/>
      <c r="CV17" s="2434"/>
      <c r="CW17" s="2434"/>
      <c r="CX17" s="2453"/>
      <c r="CY17" s="1191" t="s">
        <v>1116</v>
      </c>
      <c r="CZ17" s="1191" t="s">
        <v>1117</v>
      </c>
      <c r="DA17" s="1191" t="s">
        <v>1116</v>
      </c>
      <c r="DB17" s="1191" t="s">
        <v>1117</v>
      </c>
      <c r="DC17" s="1191" t="s">
        <v>1116</v>
      </c>
      <c r="DD17" s="1191" t="s">
        <v>1117</v>
      </c>
      <c r="DE17" s="1191" t="s">
        <v>1116</v>
      </c>
      <c r="DF17" s="1191" t="s">
        <v>1117</v>
      </c>
      <c r="DG17" s="1191" t="s">
        <v>1116</v>
      </c>
      <c r="DH17" s="1191" t="s">
        <v>1117</v>
      </c>
      <c r="DI17" s="1191" t="s">
        <v>1116</v>
      </c>
      <c r="DJ17" s="1191" t="s">
        <v>1117</v>
      </c>
      <c r="DK17" s="2436"/>
      <c r="DL17" s="2434"/>
      <c r="DM17" s="2434"/>
      <c r="DN17" s="2434"/>
      <c r="DO17" s="2434"/>
      <c r="DP17" s="2434"/>
      <c r="DQ17" s="2434"/>
      <c r="DR17" s="2434"/>
      <c r="DS17" s="2434"/>
      <c r="DT17" s="2434"/>
      <c r="DU17" s="2434"/>
      <c r="DV17" s="2434"/>
      <c r="DW17" s="2434"/>
      <c r="DX17" s="2434"/>
      <c r="DY17" s="2434"/>
      <c r="DZ17" s="2434"/>
      <c r="EA17" s="2434"/>
      <c r="EB17" s="2434"/>
      <c r="EC17" s="2434"/>
      <c r="ED17" s="2434"/>
      <c r="EE17" s="2434"/>
      <c r="EF17" s="2434"/>
      <c r="EG17" s="2434"/>
      <c r="EH17" s="2434"/>
      <c r="EI17" s="2434"/>
      <c r="EJ17" s="2434"/>
      <c r="EK17" s="2434"/>
      <c r="EL17" s="2434"/>
      <c r="EM17" s="2434"/>
      <c r="EN17" s="2434"/>
      <c r="EO17" s="2434"/>
      <c r="EP17" s="2434"/>
      <c r="EQ17" s="2434"/>
      <c r="ER17" s="2434"/>
      <c r="ES17" s="2434"/>
      <c r="ET17" s="2434"/>
      <c r="EU17" s="2434"/>
      <c r="EV17" s="2434"/>
      <c r="EW17" s="2434"/>
      <c r="EX17" s="2434"/>
      <c r="EY17" s="2434"/>
      <c r="EZ17" s="2434"/>
      <c r="FA17" s="2434"/>
      <c r="FB17" s="2434"/>
      <c r="FC17" s="2434"/>
      <c r="FD17" s="2434"/>
      <c r="FE17" s="2434"/>
      <c r="FF17" s="2434"/>
      <c r="FG17" s="2434"/>
      <c r="FH17" s="2434"/>
      <c r="FI17" s="2434"/>
      <c r="FJ17" s="2434"/>
      <c r="FK17" s="2434"/>
      <c r="FL17" s="2434"/>
      <c r="FM17" s="2434"/>
      <c r="FN17" s="2434"/>
      <c r="FO17" s="2434"/>
      <c r="FP17" s="2434"/>
      <c r="FQ17" s="2434"/>
      <c r="FR17" s="2434"/>
      <c r="FS17" s="2434"/>
      <c r="FT17" s="2434"/>
      <c r="FU17" s="2434"/>
      <c r="FV17" s="2434"/>
      <c r="FW17" s="2449"/>
      <c r="FX17" s="762"/>
      <c r="GC17" s="926">
        <v>15</v>
      </c>
    </row>
    <row s="925" customFormat="1" customHeight="1" ht="12" hidden="1">
      <c r="B18" s="923"/>
      <c r="E18" s="939"/>
      <c r="F18" s="1192"/>
      <c r="G18" s="1192"/>
      <c r="H18" s="1192"/>
      <c r="I18" s="1192"/>
      <c r="J18" s="1193"/>
      <c r="K18" s="1193"/>
      <c r="L18" s="1193"/>
      <c r="M18" s="1193"/>
      <c r="N18" s="1193"/>
      <c r="O18" s="1192"/>
      <c r="P18" s="1192"/>
      <c r="Q18" s="1192"/>
      <c r="R18" s="1192"/>
      <c r="S18" s="1192"/>
      <c r="T18" s="1192"/>
      <c r="U18" s="1194"/>
      <c r="V18" s="1194"/>
      <c r="W18" s="1194"/>
      <c r="X18" s="1194"/>
      <c r="Y18" s="1194"/>
      <c r="Z18" s="1194"/>
      <c r="AA18" s="1194"/>
      <c r="AB18" s="1192"/>
      <c r="AC18" s="1193"/>
      <c r="AD18" s="1193"/>
      <c r="AE18" s="1193"/>
      <c r="AF18" s="1193"/>
      <c r="AG18" s="1193"/>
      <c r="AH18" s="1193"/>
      <c r="AI18" s="1193"/>
      <c r="AJ18" s="1193"/>
      <c r="AK18" s="1193"/>
      <c r="AL18" s="1193"/>
      <c r="AM18" s="1193"/>
      <c r="AN18" s="1193"/>
      <c r="AO18" s="1193"/>
      <c r="AP18" s="1193"/>
      <c r="AQ18" s="1193"/>
      <c r="AR18" s="1193"/>
      <c r="AS18" s="1193"/>
      <c r="AT18" s="1193"/>
      <c r="AU18" s="1193"/>
      <c r="AV18" s="1193"/>
      <c r="AW18" s="1193"/>
      <c r="AX18" s="1193"/>
      <c r="AY18" s="1193"/>
      <c r="AZ18" s="1193"/>
      <c r="BA18" s="1193"/>
      <c r="BB18" s="1193"/>
      <c r="BC18" s="1193"/>
      <c r="BD18" s="1193"/>
      <c r="BE18" s="1193"/>
      <c r="BF18" s="1193"/>
      <c r="BG18" s="1193"/>
      <c r="BH18" s="1193"/>
      <c r="BI18" s="1193"/>
      <c r="BJ18" s="1193"/>
      <c r="BK18" s="1193"/>
      <c r="BL18" s="1193"/>
      <c r="BM18" s="1193"/>
      <c r="BN18" s="1193"/>
      <c r="BO18" s="1193"/>
      <c r="BP18" s="1193"/>
      <c r="BQ18" s="1193"/>
      <c r="BR18" s="1193"/>
      <c r="BS18" s="1193"/>
      <c r="BT18" s="1195"/>
      <c r="BU18" s="1195"/>
      <c r="BV18" s="1195"/>
      <c r="BW18" s="1195"/>
      <c r="BX18" s="1195"/>
      <c r="BY18" s="1195"/>
      <c r="BZ18" s="1195"/>
      <c r="CA18" s="1195"/>
      <c r="CB18" s="1195"/>
      <c r="CC18" s="1195"/>
      <c r="CD18" s="1195"/>
      <c r="CE18" s="1195"/>
      <c r="CF18" s="1195"/>
      <c r="CG18" s="1195"/>
      <c r="CH18" s="1195"/>
      <c r="CI18" s="1195"/>
      <c r="CJ18" s="1195"/>
      <c r="CK18" s="1195"/>
      <c r="CL18" s="1193"/>
      <c r="CM18" s="1193"/>
      <c r="CN18" s="1193"/>
      <c r="CO18" s="1193"/>
      <c r="CP18" s="1193"/>
      <c r="CQ18" s="1193"/>
      <c r="CR18" s="1193"/>
      <c r="CS18" s="1193"/>
      <c r="CT18" s="1193"/>
      <c r="CU18" s="1193"/>
      <c r="CV18" s="1193"/>
      <c r="CW18" s="1193"/>
      <c r="CX18" s="1193"/>
      <c r="CY18" s="1195"/>
      <c r="CZ18" s="1195"/>
      <c r="DA18" s="1195"/>
      <c r="DB18" s="1195"/>
      <c r="DC18" s="1195"/>
      <c r="DD18" s="1195"/>
      <c r="DE18" s="1195"/>
      <c r="DF18" s="1195"/>
      <c r="DG18" s="1195"/>
      <c r="DH18" s="1195"/>
      <c r="DI18" s="1195"/>
      <c r="DJ18" s="1195"/>
      <c r="DK18" s="1193"/>
      <c r="DL18" s="1193"/>
      <c r="DM18" s="1193"/>
      <c r="DN18" s="1193"/>
      <c r="DO18" s="1193"/>
      <c r="DP18" s="1193"/>
      <c r="DQ18" s="1193"/>
      <c r="DR18" s="1193"/>
      <c r="DS18" s="1193"/>
      <c r="DT18" s="1193"/>
      <c r="DU18" s="1193"/>
      <c r="DV18" s="1193"/>
      <c r="DW18" s="1193"/>
      <c r="DX18" s="1193"/>
      <c r="DY18" s="1193"/>
      <c r="DZ18" s="1193"/>
      <c r="EA18" s="1193"/>
      <c r="EB18" s="1193"/>
      <c r="EC18" s="1193"/>
      <c r="ED18" s="1193"/>
      <c r="EE18" s="1193"/>
      <c r="EF18" s="1193"/>
      <c r="EG18" s="1193"/>
      <c r="EH18" s="1193"/>
      <c r="EI18" s="1193"/>
      <c r="EJ18" s="1193"/>
      <c r="EK18" s="1193"/>
      <c r="EL18" s="1193"/>
      <c r="EM18" s="1193"/>
      <c r="EN18" s="1193"/>
      <c r="EO18" s="1193"/>
      <c r="EP18" s="1193"/>
      <c r="EQ18" s="1193"/>
      <c r="ER18" s="1193"/>
      <c r="ES18" s="1193"/>
      <c r="ET18" s="1193"/>
      <c r="EU18" s="1193"/>
      <c r="EV18" s="1193"/>
      <c r="EW18" s="1193"/>
      <c r="EX18" s="1193"/>
      <c r="EY18" s="1193"/>
      <c r="EZ18" s="1193"/>
      <c r="FA18" s="1193"/>
      <c r="FB18" s="1193"/>
      <c r="FC18" s="1193"/>
      <c r="FD18" s="1193"/>
      <c r="FE18" s="1193"/>
      <c r="FF18" s="1193"/>
      <c r="FG18" s="1193"/>
      <c r="FH18" s="1193"/>
      <c r="FI18" s="1193"/>
      <c r="FJ18" s="1193"/>
      <c r="FK18" s="1193"/>
      <c r="FL18" s="1193"/>
      <c r="FM18" s="1193"/>
      <c r="FN18" s="1193"/>
      <c r="FO18" s="1193"/>
      <c r="FP18" s="1193"/>
      <c r="FQ18" s="1193"/>
      <c r="FR18" s="1193"/>
      <c r="FS18" s="1193"/>
      <c r="FT18" s="1193"/>
      <c r="FU18" s="1193"/>
      <c r="FV18" s="1193"/>
      <c r="FW18" s="1192"/>
      <c r="FX18" s="1196"/>
      <c r="GC18" s="924">
        <v>0</v>
      </c>
    </row>
    <row s="925" customFormat="1" customHeight="1" ht="11.25" hidden="1">
      <c r="B19" s="923"/>
      <c r="E19" s="939"/>
      <c r="F19" s="1192"/>
      <c r="G19" s="1192"/>
      <c r="H19" s="1192"/>
      <c r="I19" s="1192"/>
      <c r="J19" s="1192"/>
      <c r="K19" s="1192"/>
      <c r="L19" s="1192"/>
      <c r="M19" s="1192"/>
      <c r="N19" s="1192"/>
      <c r="O19" s="1192"/>
      <c r="P19" s="1192"/>
      <c r="Q19" s="1192"/>
      <c r="R19" s="1192"/>
      <c r="S19" s="1192"/>
      <c r="T19" s="1192"/>
      <c r="U19" s="1194"/>
      <c r="V19" s="1194"/>
      <c r="W19" s="1194"/>
      <c r="X19" s="1194"/>
      <c r="Y19" s="1194"/>
      <c r="Z19" s="1194"/>
      <c r="AA19" s="1194"/>
      <c r="AB19" s="1192"/>
      <c r="AC19" s="1192"/>
      <c r="AD19" s="1192"/>
      <c r="AE19" s="1192"/>
      <c r="AF19" s="1192"/>
      <c r="AG19" s="1192"/>
      <c r="AH19" s="1192"/>
      <c r="AI19" s="1192"/>
      <c r="AJ19" s="1192"/>
      <c r="AK19" s="1192"/>
      <c r="AL19" s="1192"/>
      <c r="AM19" s="1192"/>
      <c r="AN19" s="1192"/>
      <c r="AO19" s="1192"/>
      <c r="AP19" s="1192"/>
      <c r="AQ19" s="1192"/>
      <c r="AR19" s="1192"/>
      <c r="AS19" s="1192"/>
      <c r="AT19" s="1192"/>
      <c r="AU19" s="1192"/>
      <c r="AV19" s="1192"/>
      <c r="AW19" s="1192"/>
      <c r="AX19" s="1192"/>
      <c r="AY19" s="1192"/>
      <c r="AZ19" s="1192"/>
      <c r="BA19" s="1192"/>
      <c r="BB19" s="1192"/>
      <c r="BC19" s="1192"/>
      <c r="BD19" s="1192"/>
      <c r="BE19" s="1192"/>
      <c r="BF19" s="1192"/>
      <c r="BG19" s="1192"/>
      <c r="BH19" s="1192"/>
      <c r="BI19" s="1192"/>
      <c r="BJ19" s="1192"/>
      <c r="BK19" s="1192"/>
      <c r="BL19" s="1192"/>
      <c r="BM19" s="1192"/>
      <c r="BN19" s="1192"/>
      <c r="BO19" s="1192"/>
      <c r="BP19" s="1192"/>
      <c r="BQ19" s="1192"/>
      <c r="BR19" s="1192"/>
      <c r="BS19" s="1192"/>
      <c r="BT19" s="1192"/>
      <c r="BU19" s="1192"/>
      <c r="BV19" s="1192"/>
      <c r="BW19" s="1192"/>
      <c r="BX19" s="1192"/>
      <c r="BY19" s="1192"/>
      <c r="BZ19" s="1192"/>
      <c r="CA19" s="1192"/>
      <c r="CB19" s="1192"/>
      <c r="CC19" s="1192"/>
      <c r="CD19" s="1192"/>
      <c r="CE19" s="1192"/>
      <c r="CF19" s="1192"/>
      <c r="CG19" s="1192"/>
      <c r="CH19" s="1192"/>
      <c r="CI19" s="1192"/>
      <c r="CJ19" s="1192"/>
      <c r="CK19" s="1192"/>
      <c r="CL19" s="1192"/>
      <c r="CM19" s="1192"/>
      <c r="CN19" s="1192"/>
      <c r="CO19" s="1192"/>
      <c r="CP19" s="1192"/>
      <c r="CQ19" s="1192"/>
      <c r="CR19" s="1192"/>
      <c r="CS19" s="1192"/>
      <c r="CT19" s="1192"/>
      <c r="CU19" s="1192"/>
      <c r="CV19" s="1192"/>
      <c r="CW19" s="1192"/>
      <c r="CX19" s="1192"/>
      <c r="CY19" s="1192"/>
      <c r="CZ19" s="1192"/>
      <c r="DA19" s="1192"/>
      <c r="DB19" s="1192"/>
      <c r="DC19" s="1192"/>
      <c r="DD19" s="1192"/>
      <c r="DE19" s="1192"/>
      <c r="DF19" s="1192"/>
      <c r="DG19" s="1192"/>
      <c r="DH19" s="1192"/>
      <c r="DI19" s="1192"/>
      <c r="DJ19" s="1192"/>
      <c r="DK19" s="1192"/>
      <c r="DL19" s="1192"/>
      <c r="DM19" s="1192"/>
      <c r="DN19" s="1192"/>
      <c r="DO19" s="1192"/>
      <c r="DP19" s="1192"/>
      <c r="DQ19" s="1192"/>
      <c r="DR19" s="1192"/>
      <c r="DS19" s="1192"/>
      <c r="DT19" s="1192"/>
      <c r="DU19" s="1192"/>
      <c r="DV19" s="1192"/>
      <c r="DW19" s="1192"/>
      <c r="DX19" s="1192"/>
      <c r="DY19" s="1192"/>
      <c r="DZ19" s="1192"/>
      <c r="EA19" s="1192"/>
      <c r="EB19" s="1192"/>
      <c r="EC19" s="1192"/>
      <c r="ED19" s="1192"/>
      <c r="EE19" s="1192"/>
      <c r="EF19" s="1192"/>
      <c r="EG19" s="1192"/>
      <c r="EH19" s="1192"/>
      <c r="EI19" s="1192"/>
      <c r="EJ19" s="1192"/>
      <c r="EK19" s="1192"/>
      <c r="EL19" s="1192"/>
      <c r="EM19" s="1192"/>
      <c r="EN19" s="1192"/>
      <c r="EO19" s="1192"/>
      <c r="EP19" s="1192"/>
      <c r="EQ19" s="1192"/>
      <c r="ER19" s="1192"/>
      <c r="ES19" s="1192"/>
      <c r="ET19" s="1192"/>
      <c r="EU19" s="1192"/>
      <c r="EV19" s="1192"/>
      <c r="EW19" s="1192"/>
      <c r="EX19" s="1192"/>
      <c r="EY19" s="1192"/>
      <c r="EZ19" s="1192"/>
      <c r="FA19" s="1192"/>
      <c r="FB19" s="1192"/>
      <c r="FC19" s="1192"/>
      <c r="FD19" s="1192"/>
      <c r="FE19" s="1192"/>
      <c r="FF19" s="1192"/>
      <c r="FG19" s="1192"/>
      <c r="FH19" s="1192"/>
      <c r="FI19" s="1192"/>
      <c r="FJ19" s="1192"/>
      <c r="FK19" s="1192"/>
      <c r="FL19" s="1192"/>
      <c r="FM19" s="1192"/>
      <c r="FN19" s="1192"/>
      <c r="FO19" s="1192"/>
      <c r="FP19" s="1192"/>
      <c r="FQ19" s="1192"/>
      <c r="FR19" s="1192"/>
      <c r="FS19" s="1192"/>
      <c r="FT19" s="1192"/>
      <c r="FU19" s="1192"/>
      <c r="FV19" s="1192"/>
      <c r="FW19" s="1192"/>
      <c r="FX19" s="1196"/>
      <c r="GC19" s="924">
        <v>0</v>
      </c>
    </row>
    <row s="925" customFormat="1" customHeight="1" ht="11.25" hidden="1">
      <c r="B20" s="940"/>
      <c r="D20" s="924"/>
      <c r="E20" s="939"/>
      <c r="F20" s="1197" t="s">
        <v>378</v>
      </c>
      <c r="G20" s="1198"/>
      <c r="H20" s="1199"/>
      <c r="I20" s="1199"/>
      <c r="J20" s="1199"/>
      <c r="K20" s="1199"/>
      <c r="L20" s="1199"/>
      <c r="M20" s="1199"/>
      <c r="N20" s="1199"/>
      <c r="O20" s="1198"/>
      <c r="P20" s="1198"/>
      <c r="Q20" s="1198"/>
      <c r="R20" s="1198"/>
      <c r="S20" s="1198"/>
      <c r="T20" s="1198"/>
      <c r="U20" s="1200"/>
      <c r="V20" s="1200"/>
      <c r="W20" s="1200"/>
      <c r="X20" s="1200"/>
      <c r="Y20" s="1200"/>
      <c r="Z20" s="1200"/>
      <c r="AA20" s="1200"/>
      <c r="AB20" s="1198"/>
      <c r="AC20" s="1199"/>
      <c r="AD20" s="1199"/>
      <c r="AE20" s="1199"/>
      <c r="AF20" s="1199"/>
      <c r="AG20" s="1199"/>
      <c r="AH20" s="1199"/>
      <c r="AI20" s="1199"/>
      <c r="AJ20" s="1199"/>
      <c r="AK20" s="1199"/>
      <c r="AL20" s="1199"/>
      <c r="AM20" s="1199"/>
      <c r="AN20" s="1199"/>
      <c r="AO20" s="1199"/>
      <c r="AP20" s="1199"/>
      <c r="AQ20" s="1199"/>
      <c r="AR20" s="1199"/>
      <c r="AS20" s="1199"/>
      <c r="AT20" s="1199"/>
      <c r="AU20" s="1199"/>
      <c r="AV20" s="1199"/>
      <c r="AW20" s="1199"/>
      <c r="AX20" s="1199"/>
      <c r="AY20" s="1199"/>
      <c r="AZ20" s="1199"/>
      <c r="BA20" s="1199"/>
      <c r="BB20" s="1199"/>
      <c r="BC20" s="1199"/>
      <c r="BD20" s="1199"/>
      <c r="BE20" s="1199"/>
      <c r="BF20" s="1199"/>
      <c r="BG20" s="1199"/>
      <c r="BH20" s="1199"/>
      <c r="BI20" s="1199"/>
      <c r="BJ20" s="1199"/>
      <c r="BK20" s="1199"/>
      <c r="BL20" s="1199"/>
      <c r="BM20" s="1199"/>
      <c r="BN20" s="1199"/>
      <c r="BO20" s="1199"/>
      <c r="BP20" s="1199"/>
      <c r="BQ20" s="1199"/>
      <c r="BR20" s="1199"/>
      <c r="BS20" s="1199"/>
      <c r="BT20" s="1199"/>
      <c r="BU20" s="1199"/>
      <c r="BV20" s="1199"/>
      <c r="BW20" s="1199"/>
      <c r="BX20" s="1199"/>
      <c r="BY20" s="1199"/>
      <c r="BZ20" s="1199"/>
      <c r="CA20" s="1199"/>
      <c r="CB20" s="1199"/>
      <c r="CC20" s="1199"/>
      <c r="CD20" s="1199"/>
      <c r="CE20" s="1199"/>
      <c r="CF20" s="1199"/>
      <c r="CG20" s="1199"/>
      <c r="CH20" s="1199"/>
      <c r="CI20" s="1199"/>
      <c r="CJ20" s="1199"/>
      <c r="CK20" s="1199"/>
      <c r="CL20" s="1201"/>
      <c r="CM20" s="1201"/>
      <c r="CN20" s="1201"/>
      <c r="CO20" s="1201"/>
      <c r="CP20" s="1201"/>
      <c r="CQ20" s="1201"/>
      <c r="CR20" s="1201"/>
      <c r="CS20" s="1201"/>
      <c r="CT20" s="1201"/>
      <c r="CU20" s="1201"/>
      <c r="CV20" s="1201"/>
      <c r="CW20" s="1201"/>
      <c r="CX20" s="1201"/>
      <c r="CY20" s="1201"/>
      <c r="CZ20" s="1201"/>
      <c r="DA20" s="1201"/>
      <c r="DB20" s="1201"/>
      <c r="DC20" s="1201"/>
      <c r="DD20" s="1201"/>
      <c r="DE20" s="1201"/>
      <c r="DF20" s="1201"/>
      <c r="DG20" s="1201"/>
      <c r="DH20" s="1201"/>
      <c r="DI20" s="1201"/>
      <c r="DJ20" s="1201"/>
      <c r="DK20" s="1201"/>
      <c r="DL20" s="1201"/>
      <c r="DM20" s="1201"/>
      <c r="DN20" s="1201"/>
      <c r="DO20" s="1201"/>
      <c r="DP20" s="1201"/>
      <c r="DQ20" s="1201"/>
      <c r="DR20" s="1201"/>
      <c r="DS20" s="1201"/>
      <c r="DT20" s="1201"/>
      <c r="DU20" s="1201"/>
      <c r="DV20" s="1201"/>
      <c r="DW20" s="1201"/>
      <c r="DX20" s="1201"/>
      <c r="DY20" s="1201"/>
      <c r="DZ20" s="1201"/>
      <c r="EA20" s="1201"/>
      <c r="EB20" s="1201"/>
      <c r="EC20" s="1201"/>
      <c r="ED20" s="1201"/>
      <c r="EE20" s="1201"/>
      <c r="EF20" s="1201"/>
      <c r="EG20" s="1201"/>
      <c r="EH20" s="1201"/>
      <c r="EI20" s="1201"/>
      <c r="EJ20" s="1201"/>
      <c r="EK20" s="1201"/>
      <c r="EL20" s="1201"/>
      <c r="EM20" s="1201"/>
      <c r="EN20" s="1201"/>
      <c r="EO20" s="1201"/>
      <c r="EP20" s="1201"/>
      <c r="EQ20" s="1201"/>
      <c r="ER20" s="1201"/>
      <c r="ES20" s="1201"/>
      <c r="ET20" s="1201"/>
      <c r="EU20" s="1201"/>
      <c r="EV20" s="1201"/>
      <c r="EW20" s="1201"/>
      <c r="EX20" s="1201"/>
      <c r="EY20" s="1201"/>
      <c r="EZ20" s="1201"/>
      <c r="FA20" s="1201"/>
      <c r="FB20" s="1201"/>
      <c r="FC20" s="1201"/>
      <c r="FD20" s="1201"/>
      <c r="FE20" s="1201"/>
      <c r="FF20" s="1201"/>
      <c r="FG20" s="1201"/>
      <c r="FH20" s="1201"/>
      <c r="FI20" s="1201"/>
      <c r="FJ20" s="1201"/>
      <c r="FK20" s="1201"/>
      <c r="FL20" s="1201"/>
      <c r="FM20" s="1201"/>
      <c r="FN20" s="1201"/>
      <c r="FO20" s="1201"/>
      <c r="FP20" s="1201"/>
      <c r="FQ20" s="1201"/>
      <c r="FR20" s="1201"/>
      <c r="FS20" s="1201"/>
      <c r="FT20" s="1201"/>
      <c r="FU20" s="1201"/>
      <c r="FV20" s="1201"/>
      <c r="FW20" s="1201"/>
      <c r="FX20" s="1202"/>
      <c r="GC20" s="922">
        <v>0</v>
      </c>
    </row>
    <row s="925" customFormat="1" customHeight="1" ht="12.75">
      <c r="A21" s="941"/>
      <c r="B21" s="941"/>
      <c r="C21" s="941"/>
      <c r="D21" s="941"/>
      <c r="E21" s="941"/>
      <c r="F21" s="939"/>
      <c r="G21" s="939"/>
      <c r="H21" s="939"/>
      <c r="I21" s="939"/>
      <c r="J21" s="939"/>
      <c r="K21" s="939"/>
      <c r="L21" s="939"/>
      <c r="M21" s="939"/>
      <c r="N21" s="939"/>
      <c r="O21" s="939"/>
      <c r="P21" s="939"/>
      <c r="Q21" s="939"/>
      <c r="R21" s="939"/>
      <c r="S21" s="942"/>
      <c r="T21" s="942"/>
      <c r="U21" s="939"/>
      <c r="V21" s="939"/>
      <c r="W21" s="939"/>
      <c r="X21" s="939"/>
      <c r="Y21" s="939"/>
      <c r="Z21" s="939"/>
      <c r="AA21" s="939"/>
      <c r="AB21" s="939"/>
      <c r="AC21" s="939"/>
      <c r="AD21" s="939"/>
      <c r="AE21" s="939"/>
      <c r="AF21" s="939"/>
      <c r="AG21" s="939"/>
      <c r="AH21" s="939"/>
      <c r="AI21" s="939"/>
      <c r="AJ21" s="939"/>
      <c r="AK21" s="939"/>
      <c r="AL21" s="939"/>
      <c r="AM21" s="939"/>
      <c r="AN21" s="939"/>
      <c r="AO21" s="939"/>
      <c r="AP21" s="939"/>
      <c r="AQ21" s="939"/>
      <c r="AR21" s="939"/>
      <c r="AS21" s="939"/>
      <c r="AT21" s="939"/>
      <c r="AU21" s="939"/>
      <c r="AV21" s="939"/>
      <c r="AW21" s="939"/>
      <c r="AX21" s="939"/>
      <c r="AY21" s="939"/>
      <c r="AZ21" s="939"/>
      <c r="BA21" s="939"/>
      <c r="BB21" s="939"/>
      <c r="BC21" s="939"/>
      <c r="BD21" s="939"/>
      <c r="BE21" s="939"/>
      <c r="BF21" s="939"/>
      <c r="BG21" s="939"/>
      <c r="BH21" s="939"/>
      <c r="BI21" s="939"/>
      <c r="BJ21" s="939"/>
      <c r="BK21" s="939"/>
      <c r="BL21" s="939"/>
      <c r="BM21" s="939"/>
      <c r="BN21" s="939"/>
      <c r="BO21" s="939"/>
      <c r="BP21" s="939"/>
      <c r="BQ21" s="939"/>
      <c r="BR21" s="939"/>
      <c r="BS21" s="939"/>
      <c r="BT21" s="939"/>
      <c r="BU21" s="939"/>
      <c r="BV21" s="939"/>
      <c r="BW21" s="939"/>
      <c r="BX21" s="939"/>
      <c r="BY21" s="939"/>
      <c r="BZ21" s="939"/>
      <c r="CA21" s="939"/>
      <c r="CB21" s="939"/>
      <c r="CC21" s="939"/>
      <c r="CD21" s="939"/>
      <c r="CE21" s="939"/>
      <c r="CF21" s="939"/>
      <c r="CG21" s="939"/>
      <c r="CH21" s="939"/>
      <c r="CI21" s="939"/>
      <c r="CJ21" s="939"/>
      <c r="CK21" s="939"/>
      <c r="CL21" s="939"/>
      <c r="CM21" s="939"/>
      <c r="CN21" s="939"/>
      <c r="CO21" s="939"/>
      <c r="CP21" s="939"/>
      <c r="CQ21" s="939"/>
      <c r="CR21" s="939"/>
      <c r="CS21" s="939"/>
      <c r="CT21" s="939"/>
      <c r="CU21" s="939"/>
      <c r="CV21" s="939"/>
      <c r="CW21" s="939"/>
      <c r="CX21" s="939"/>
      <c r="CY21" s="939"/>
      <c r="CZ21" s="939"/>
      <c r="DA21" s="939"/>
      <c r="DB21" s="939"/>
      <c r="DC21" s="939"/>
      <c r="DD21" s="939"/>
      <c r="DE21" s="939"/>
      <c r="DF21" s="939"/>
      <c r="DG21" s="939"/>
      <c r="DH21" s="939"/>
      <c r="DI21" s="939"/>
      <c r="DJ21" s="939"/>
      <c r="DK21" s="939"/>
      <c r="DL21" s="939"/>
      <c r="DM21" s="939"/>
      <c r="DN21" s="939"/>
      <c r="DO21" s="939"/>
      <c r="DP21" s="939"/>
      <c r="DQ21" s="939"/>
      <c r="DR21" s="939"/>
      <c r="DS21" s="939"/>
      <c r="DT21" s="939"/>
      <c r="DU21" s="939"/>
      <c r="DV21" s="939"/>
      <c r="DW21" s="939"/>
      <c r="DX21" s="939"/>
      <c r="DY21" s="939"/>
      <c r="DZ21" s="939"/>
      <c r="EA21" s="939"/>
      <c r="EB21" s="939"/>
      <c r="EC21" s="939"/>
      <c r="ED21" s="939"/>
      <c r="EE21" s="939"/>
      <c r="EF21" s="939"/>
      <c r="EG21" s="939"/>
      <c r="EH21" s="939"/>
      <c r="EI21" s="939"/>
      <c r="EJ21" s="939"/>
      <c r="EK21" s="939"/>
      <c r="EL21" s="939"/>
      <c r="EM21" s="939"/>
      <c r="EN21" s="939"/>
      <c r="EO21" s="939"/>
      <c r="EP21" s="939"/>
      <c r="EQ21" s="939"/>
      <c r="ER21" s="939"/>
      <c r="ES21" s="939"/>
      <c r="ET21" s="939"/>
      <c r="EU21" s="939"/>
      <c r="EV21" s="939"/>
      <c r="EW21" s="939"/>
      <c r="EX21" s="939"/>
      <c r="EY21" s="939"/>
      <c r="EZ21" s="939"/>
      <c r="FA21" s="939"/>
      <c r="FB21" s="939"/>
      <c r="FC21" s="939"/>
      <c r="FD21" s="939"/>
      <c r="FE21" s="939"/>
      <c r="FF21" s="939"/>
      <c r="FG21" s="939"/>
      <c r="FH21" s="939"/>
      <c r="FI21" s="939"/>
      <c r="FJ21" s="939"/>
      <c r="FK21" s="939"/>
      <c r="FL21" s="939"/>
      <c r="FM21" s="939"/>
      <c r="FN21" s="939"/>
      <c r="FO21" s="939"/>
      <c r="FP21" s="939"/>
      <c r="FQ21" s="939"/>
      <c r="FR21" s="939"/>
      <c r="FS21" s="939"/>
      <c r="FT21" s="939"/>
      <c r="FU21" s="939"/>
      <c r="FV21" s="939"/>
      <c r="FW21" s="939"/>
      <c r="FX21" s="941"/>
      <c r="FY21" s="941"/>
      <c r="FZ21" s="941"/>
      <c r="GA21" s="941"/>
      <c r="GB21" s="941"/>
      <c r="GC21" s="922">
        <v>12</v>
      </c>
    </row>
    <row s="925" customFormat="1" customHeight="1" ht="12.75">
      <c r="A22" s="941"/>
      <c r="B22" s="941"/>
      <c r="C22" s="941"/>
      <c r="D22" s="941"/>
      <c r="E22" s="941"/>
      <c r="FX22" s="941"/>
      <c r="FY22" s="941"/>
      <c r="FZ22" s="941"/>
      <c r="GA22" s="941"/>
      <c r="GB22" s="941"/>
      <c r="GC22" s="922">
        <v>12</v>
      </c>
    </row>
    <row s="1063" customFormat="1" customHeight="1" ht="12.75">
      <c r="A23" s="1062"/>
      <c r="B23" s="1062"/>
      <c r="C23" s="1062"/>
      <c r="D23" s="1062"/>
      <c r="E23" s="1062"/>
      <c r="O23" s="1064"/>
      <c r="P23" s="1064"/>
      <c r="Q23" s="1064"/>
      <c r="R23" s="1064"/>
      <c r="S23" s="1064"/>
      <c r="T23" s="1064"/>
      <c r="U23" s="1064"/>
      <c r="V23" s="1064"/>
      <c r="W23" s="1064"/>
      <c r="X23" s="1064"/>
      <c r="Y23" s="1064"/>
      <c r="Z23" s="1064"/>
      <c r="AA23" s="1064"/>
      <c r="AB23" s="1064"/>
      <c r="AC23" s="1064"/>
      <c r="AD23" s="1064"/>
      <c r="AE23" s="1064"/>
      <c r="AF23" s="1064"/>
      <c r="AG23" s="1064"/>
      <c r="AH23" s="1064"/>
      <c r="AI23" s="1064"/>
      <c r="AJ23" s="1064"/>
      <c r="AK23" s="1064"/>
      <c r="AL23" s="1064"/>
      <c r="AM23" s="1064"/>
      <c r="AN23" s="1064"/>
      <c r="AO23" s="1064"/>
      <c r="AP23" s="1064"/>
      <c r="AQ23" s="1064"/>
      <c r="AR23" s="1064"/>
      <c r="AS23" s="1064"/>
      <c r="AT23" s="1064"/>
      <c r="AU23" s="1064"/>
      <c r="AV23" s="1064"/>
      <c r="AW23" s="1064"/>
      <c r="AX23" s="1064"/>
      <c r="AY23" s="1064"/>
      <c r="AZ23" s="1064"/>
      <c r="BA23" s="1064"/>
      <c r="BB23" s="1064"/>
      <c r="BC23" s="1064"/>
      <c r="BD23" s="1064"/>
      <c r="BE23" s="1064"/>
      <c r="BF23" s="1064"/>
      <c r="BG23" s="1064"/>
      <c r="BH23" s="1064"/>
      <c r="BI23" s="1064"/>
      <c r="BJ23" s="1064"/>
      <c r="BK23" s="1064"/>
      <c r="BL23" s="1064"/>
      <c r="BM23" s="1064"/>
      <c r="BN23" s="1064"/>
      <c r="BO23" s="1064"/>
      <c r="BP23" s="1064"/>
      <c r="BQ23" s="1064"/>
      <c r="BR23" s="1064"/>
      <c r="BS23" s="1064"/>
      <c r="BT23" s="1065"/>
      <c r="BU23" s="1065"/>
      <c r="BV23" s="1065"/>
      <c r="BW23" s="1065"/>
      <c r="BX23" s="1065"/>
      <c r="BY23" s="1065"/>
      <c r="BZ23" s="1065"/>
      <c r="CA23" s="1065"/>
      <c r="CB23" s="1065"/>
      <c r="CC23" s="1065"/>
      <c r="CD23" s="1065"/>
      <c r="CE23" s="1065"/>
      <c r="CF23" s="1065"/>
      <c r="CG23" s="1065"/>
      <c r="CH23" s="1065"/>
      <c r="CI23" s="1065"/>
      <c r="CJ23" s="1065"/>
      <c r="CK23" s="1065"/>
      <c r="CL23" s="1065"/>
      <c r="CM23" s="1065"/>
      <c r="CN23" s="1065"/>
      <c r="CO23" s="1065"/>
      <c r="CP23" s="1065"/>
      <c r="CQ23" s="1065"/>
      <c r="CR23" s="1065"/>
      <c r="CS23" s="1065"/>
      <c r="CT23" s="1065"/>
      <c r="CU23" s="1065"/>
      <c r="CV23" s="1065"/>
      <c r="CW23" s="1065"/>
      <c r="CX23" s="1065"/>
      <c r="CY23" s="1065"/>
      <c r="CZ23" s="1065"/>
      <c r="DA23" s="1065"/>
      <c r="DB23" s="1065"/>
      <c r="DC23" s="1065"/>
      <c r="DD23" s="1065"/>
      <c r="DE23" s="1065"/>
      <c r="DF23" s="1065"/>
      <c r="DG23" s="1065"/>
      <c r="DH23" s="1065"/>
      <c r="DI23" s="1065"/>
      <c r="DJ23" s="1065"/>
      <c r="DK23" s="1065"/>
      <c r="DL23" s="1065"/>
      <c r="DM23" s="1065"/>
      <c r="DN23" s="1065"/>
      <c r="DO23" s="1065"/>
      <c r="DP23" s="1065"/>
      <c r="DQ23" s="1065"/>
      <c r="DR23" s="1065"/>
      <c r="DS23" s="1065"/>
      <c r="DT23" s="1065"/>
      <c r="DU23" s="1065"/>
      <c r="DV23" s="1065"/>
      <c r="DW23" s="1065"/>
      <c r="DX23" s="1065"/>
      <c r="FX23" s="1062"/>
      <c r="FY23" s="1062"/>
      <c r="FZ23" s="1062"/>
      <c r="GA23" s="1062"/>
      <c r="GB23" s="1062"/>
      <c r="GC23" s="1063">
        <v>12</v>
      </c>
    </row>
    <row customHeight="1" ht="12.75">
      <c r="S24" s="938"/>
      <c r="T24" s="938"/>
      <c r="U24" s="938"/>
      <c r="V24" s="938"/>
      <c r="W24" s="938"/>
      <c r="X24" s="938"/>
      <c r="Y24" s="938"/>
      <c r="Z24" s="938"/>
      <c r="AA24" s="938"/>
      <c r="AB24" s="938"/>
      <c r="FX24" s="938"/>
      <c r="FY24" s="938"/>
      <c r="FZ24" s="938"/>
      <c r="GA24" s="938"/>
      <c r="GB24" s="938"/>
      <c r="GC24" s="926">
        <v>12</v>
      </c>
    </row>
    <row customHeight="1" ht="12" hidden="1">
      <c r="A25" s="926" t="s">
        <v>82</v>
      </c>
      <c r="B25" s="936">
        <v>0</v>
      </c>
      <c r="C25" s="926">
        <v>0</v>
      </c>
      <c r="D25" s="926">
        <v>0</v>
      </c>
      <c r="E25" s="926">
        <v>3</v>
      </c>
      <c r="F25" s="926">
        <v>6</v>
      </c>
      <c r="G25" s="926">
        <v>18</v>
      </c>
      <c r="H25" s="926">
        <v>27</v>
      </c>
      <c r="I25" s="926">
        <v>18</v>
      </c>
      <c r="J25" s="926">
        <v>0</v>
      </c>
      <c r="K25" s="926">
        <v>0</v>
      </c>
      <c r="L25" s="926">
        <v>0</v>
      </c>
      <c r="M25" s="926">
        <v>0</v>
      </c>
      <c r="N25" s="926">
        <v>0</v>
      </c>
      <c r="O25" s="926">
        <v>0</v>
      </c>
      <c r="P25" s="926">
        <v>0</v>
      </c>
      <c r="Q25" s="926">
        <v>0</v>
      </c>
      <c r="R25" s="926">
        <v>0</v>
      </c>
      <c r="S25" s="926">
        <v>0</v>
      </c>
      <c r="T25" s="926">
        <v>0</v>
      </c>
      <c r="U25" s="926">
        <v>0</v>
      </c>
      <c r="V25" s="926">
        <v>0</v>
      </c>
      <c r="W25" s="926">
        <v>0</v>
      </c>
      <c r="X25" s="926">
        <v>0</v>
      </c>
      <c r="Y25" s="926">
        <v>0</v>
      </c>
      <c r="Z25" s="926">
        <v>0</v>
      </c>
      <c r="AA25" s="926">
        <v>0</v>
      </c>
      <c r="AB25" s="926">
        <v>0</v>
      </c>
      <c r="AC25" s="926">
        <v>0</v>
      </c>
      <c r="AD25" s="926">
        <v>0</v>
      </c>
      <c r="AE25" s="926">
        <v>0</v>
      </c>
      <c r="AF25" s="926">
        <v>0</v>
      </c>
      <c r="AG25" s="926">
        <v>0</v>
      </c>
      <c r="AH25" s="926">
        <v>0</v>
      </c>
      <c r="AI25" s="926">
        <v>0</v>
      </c>
      <c r="AJ25" s="926">
        <v>0</v>
      </c>
      <c r="AK25" s="926">
        <v>0</v>
      </c>
      <c r="AL25" s="926">
        <v>0</v>
      </c>
      <c r="AM25" s="926">
        <v>0</v>
      </c>
      <c r="AN25" s="926">
        <v>0</v>
      </c>
      <c r="AO25" s="926">
        <v>0</v>
      </c>
      <c r="AP25" s="926">
        <v>0</v>
      </c>
      <c r="AQ25" s="926">
        <v>0</v>
      </c>
      <c r="AR25" s="926">
        <v>0</v>
      </c>
      <c r="AS25" s="926">
        <v>0</v>
      </c>
      <c r="AT25" s="926">
        <v>0</v>
      </c>
      <c r="AU25" s="926">
        <v>0</v>
      </c>
      <c r="AV25" s="926">
        <v>0</v>
      </c>
      <c r="AW25" s="926">
        <v>0</v>
      </c>
      <c r="AX25" s="926">
        <v>0</v>
      </c>
      <c r="AY25" s="926">
        <v>0</v>
      </c>
      <c r="AZ25" s="926">
        <v>0</v>
      </c>
      <c r="BA25" s="926">
        <v>0</v>
      </c>
      <c r="BB25" s="926">
        <v>0</v>
      </c>
      <c r="BC25" s="926">
        <v>0</v>
      </c>
      <c r="BD25" s="926">
        <v>0</v>
      </c>
      <c r="BE25" s="926">
        <v>0</v>
      </c>
      <c r="BF25" s="926">
        <v>0</v>
      </c>
      <c r="BG25" s="926">
        <v>0</v>
      </c>
      <c r="BH25" s="926">
        <v>0</v>
      </c>
      <c r="BI25" s="926">
        <v>0</v>
      </c>
      <c r="BJ25" s="926">
        <v>0</v>
      </c>
      <c r="BK25" s="926">
        <v>0</v>
      </c>
      <c r="BL25" s="926">
        <v>0</v>
      </c>
      <c r="BM25" s="926">
        <v>0</v>
      </c>
      <c r="BN25" s="926">
        <v>0</v>
      </c>
      <c r="BO25" s="926">
        <v>0</v>
      </c>
      <c r="BP25" s="926">
        <v>0</v>
      </c>
      <c r="BQ25" s="926">
        <v>0</v>
      </c>
      <c r="BR25" s="926">
        <v>0</v>
      </c>
      <c r="BS25" s="926">
        <v>0</v>
      </c>
      <c r="BT25" s="926">
        <v>0</v>
      </c>
      <c r="BU25" s="926">
        <v>0</v>
      </c>
      <c r="BV25" s="926">
        <v>0</v>
      </c>
      <c r="BW25" s="926">
        <v>0</v>
      </c>
      <c r="BX25" s="926">
        <v>0</v>
      </c>
      <c r="BY25" s="926">
        <v>0</v>
      </c>
      <c r="BZ25" s="926">
        <v>0</v>
      </c>
      <c r="CA25" s="926">
        <v>0</v>
      </c>
      <c r="CB25" s="926">
        <v>0</v>
      </c>
      <c r="CC25" s="926">
        <v>0</v>
      </c>
      <c r="CD25" s="926">
        <v>0</v>
      </c>
      <c r="CE25" s="926">
        <v>0</v>
      </c>
      <c r="CF25" s="926">
        <v>0</v>
      </c>
      <c r="CG25" s="926">
        <v>0</v>
      </c>
      <c r="CH25" s="926">
        <v>0</v>
      </c>
      <c r="CI25" s="926">
        <v>0</v>
      </c>
      <c r="CJ25" s="926">
        <v>0</v>
      </c>
      <c r="CK25" s="926">
        <v>0</v>
      </c>
      <c r="CL25" s="926">
        <v>0</v>
      </c>
      <c r="CM25" s="926">
        <v>0</v>
      </c>
      <c r="CN25" s="926">
        <v>0</v>
      </c>
      <c r="CO25" s="926">
        <v>0</v>
      </c>
      <c r="CP25" s="926">
        <v>0</v>
      </c>
      <c r="CQ25" s="926">
        <v>0</v>
      </c>
      <c r="CR25" s="926">
        <v>0</v>
      </c>
      <c r="CS25" s="926">
        <v>0</v>
      </c>
      <c r="CT25" s="926">
        <v>0</v>
      </c>
      <c r="CU25" s="926">
        <v>0</v>
      </c>
      <c r="CV25" s="926">
        <v>0</v>
      </c>
      <c r="CW25" s="926">
        <v>0</v>
      </c>
      <c r="CX25" s="926">
        <v>0</v>
      </c>
      <c r="CY25" s="926">
        <v>0</v>
      </c>
      <c r="CZ25" s="926">
        <v>0</v>
      </c>
      <c r="DA25" s="926">
        <v>0</v>
      </c>
      <c r="DB25" s="926">
        <v>0</v>
      </c>
      <c r="DC25" s="926">
        <v>0</v>
      </c>
      <c r="DD25" s="926">
        <v>0</v>
      </c>
      <c r="DE25" s="926">
        <v>0</v>
      </c>
      <c r="DF25" s="926">
        <v>0</v>
      </c>
      <c r="DG25" s="926">
        <v>0</v>
      </c>
      <c r="DH25" s="926">
        <v>0</v>
      </c>
      <c r="DI25" s="926">
        <v>0</v>
      </c>
      <c r="DJ25" s="926">
        <v>0</v>
      </c>
      <c r="DK25" s="926">
        <v>0</v>
      </c>
      <c r="DL25" s="926">
        <v>0</v>
      </c>
      <c r="DM25" s="926">
        <v>0</v>
      </c>
      <c r="DN25" s="926">
        <v>0</v>
      </c>
      <c r="DO25" s="926">
        <v>0</v>
      </c>
      <c r="DP25" s="926">
        <v>0</v>
      </c>
      <c r="DQ25" s="926">
        <v>0</v>
      </c>
      <c r="DR25" s="926">
        <v>0</v>
      </c>
      <c r="DS25" s="926">
        <v>0</v>
      </c>
      <c r="DT25" s="926">
        <v>0</v>
      </c>
      <c r="DU25" s="926">
        <v>0</v>
      </c>
      <c r="DV25" s="926">
        <v>0</v>
      </c>
      <c r="DW25" s="926">
        <v>0</v>
      </c>
      <c r="DX25" s="926">
        <v>0</v>
      </c>
      <c r="DY25" s="926">
        <v>0</v>
      </c>
      <c r="DZ25" s="926">
        <v>0</v>
      </c>
      <c r="EA25" s="926">
        <v>0</v>
      </c>
      <c r="EB25" s="926">
        <v>0</v>
      </c>
      <c r="EC25" s="926">
        <v>0</v>
      </c>
      <c r="ED25" s="926">
        <v>0</v>
      </c>
      <c r="EE25" s="926">
        <v>0</v>
      </c>
      <c r="EF25" s="926">
        <v>0</v>
      </c>
      <c r="EG25" s="926">
        <v>0</v>
      </c>
      <c r="EH25" s="926">
        <v>0</v>
      </c>
      <c r="EI25" s="926">
        <v>0</v>
      </c>
      <c r="EJ25" s="926">
        <v>0</v>
      </c>
      <c r="EK25" s="926">
        <v>0</v>
      </c>
      <c r="EL25" s="926">
        <v>0</v>
      </c>
      <c r="EM25" s="926">
        <v>0</v>
      </c>
      <c r="EN25" s="926">
        <v>0</v>
      </c>
      <c r="EO25" s="926">
        <v>0</v>
      </c>
      <c r="EP25" s="926">
        <v>0</v>
      </c>
      <c r="EQ25" s="926">
        <v>0</v>
      </c>
      <c r="ER25" s="926">
        <v>0</v>
      </c>
      <c r="ES25" s="926">
        <v>0</v>
      </c>
      <c r="ET25" s="926">
        <v>0</v>
      </c>
      <c r="EU25" s="926">
        <v>0</v>
      </c>
      <c r="EV25" s="926">
        <v>0</v>
      </c>
      <c r="EW25" s="926">
        <v>0</v>
      </c>
      <c r="EX25" s="926">
        <v>0</v>
      </c>
      <c r="EY25" s="926">
        <v>0</v>
      </c>
      <c r="EZ25" s="926">
        <v>0</v>
      </c>
      <c r="FA25" s="926">
        <v>0</v>
      </c>
      <c r="FB25" s="926">
        <v>0</v>
      </c>
      <c r="FC25" s="926">
        <v>0</v>
      </c>
      <c r="FD25" s="926">
        <v>0</v>
      </c>
      <c r="FE25" s="926">
        <v>0</v>
      </c>
      <c r="FF25" s="926">
        <v>0</v>
      </c>
      <c r="FG25" s="926">
        <v>0</v>
      </c>
      <c r="FH25" s="926">
        <v>0</v>
      </c>
      <c r="FI25" s="926">
        <v>0</v>
      </c>
      <c r="FJ25" s="926">
        <v>0</v>
      </c>
      <c r="FK25" s="926">
        <v>0</v>
      </c>
      <c r="FL25" s="926">
        <v>0</v>
      </c>
      <c r="FM25" s="926">
        <v>0</v>
      </c>
      <c r="FN25" s="926">
        <v>0</v>
      </c>
      <c r="FO25" s="926">
        <v>0</v>
      </c>
      <c r="FP25" s="926">
        <v>0</v>
      </c>
      <c r="FQ25" s="926">
        <v>0</v>
      </c>
      <c r="FR25" s="926">
        <v>0</v>
      </c>
      <c r="FS25" s="926">
        <v>0</v>
      </c>
      <c r="FT25" s="926">
        <v>0</v>
      </c>
      <c r="FU25" s="926">
        <v>0</v>
      </c>
      <c r="FV25" s="926">
        <v>0</v>
      </c>
      <c r="FW25" s="926">
        <v>0</v>
      </c>
      <c r="FX25" s="926">
        <v>8</v>
      </c>
      <c r="FY25" s="926">
        <v>8</v>
      </c>
      <c r="FZ25" s="926">
        <v>8</v>
      </c>
      <c r="GA25" s="926">
        <v>8</v>
      </c>
      <c r="GB25" s="926">
        <v>8</v>
      </c>
      <c r="GC25" s="926">
        <v>12</v>
      </c>
    </row>
  </sheetData>
  <sheetProtection formatColumns="0" formatRows="0" autoFilter="0" sort="0" insertRows="0" insertColumns="1" deleteRows="0" deleteColumns="0"/>
  <mergeCells count="198">
    <mergeCell ref="CJ14:CK15"/>
    <mergeCell ref="CJ16:CK16"/>
    <mergeCell ref="CY13:CZ15"/>
    <mergeCell ref="CY16:CZ16"/>
    <mergeCell ref="DA13:DB15"/>
    <mergeCell ref="DA16:DB16"/>
    <mergeCell ref="CV11:CV17"/>
    <mergeCell ref="CW11:CW17"/>
    <mergeCell ref="CX11:CX17"/>
    <mergeCell ref="CY11:DJ11"/>
    <mergeCell ref="CY12:DD12"/>
    <mergeCell ref="DG12:DJ12"/>
    <mergeCell ref="CP11:CP17"/>
    <mergeCell ref="CQ11:CQ17"/>
    <mergeCell ref="CR11:CR17"/>
    <mergeCell ref="CS11:CS17"/>
    <mergeCell ref="CT11:CT17"/>
    <mergeCell ref="CU11:CU17"/>
    <mergeCell ref="DC13:DD15"/>
    <mergeCell ref="DC16:DD16"/>
    <mergeCell ref="DE12:DF12"/>
    <mergeCell ref="DE13:DF15"/>
    <mergeCell ref="DE16:DF16"/>
    <mergeCell ref="DG14:DH15"/>
    <mergeCell ref="AA14:AB15"/>
    <mergeCell ref="AA16:AB16"/>
    <mergeCell ref="BT13:BU15"/>
    <mergeCell ref="BT16:BU16"/>
    <mergeCell ref="O14:P15"/>
    <mergeCell ref="O16:P16"/>
    <mergeCell ref="Q14:R15"/>
    <mergeCell ref="Q16:R16"/>
    <mergeCell ref="S13:T15"/>
    <mergeCell ref="S16:T16"/>
    <mergeCell ref="U14:V15"/>
    <mergeCell ref="W14:X15"/>
    <mergeCell ref="U16:V16"/>
    <mergeCell ref="W16:X16"/>
    <mergeCell ref="BR11:BR17"/>
    <mergeCell ref="BS11:BS17"/>
    <mergeCell ref="BT11:CK11"/>
    <mergeCell ref="BT12:BW12"/>
    <mergeCell ref="BX12:CA12"/>
    <mergeCell ref="CD12:CK12"/>
    <mergeCell ref="BV16:BW16"/>
    <mergeCell ref="BX13:BY15"/>
    <mergeCell ref="CH14:CI15"/>
    <mergeCell ref="CH16:CI16"/>
    <mergeCell ref="DY8:FV8"/>
    <mergeCell ref="FW8:FW17"/>
    <mergeCell ref="AE11:AE17"/>
    <mergeCell ref="AF11:AF17"/>
    <mergeCell ref="EI11:EI17"/>
    <mergeCell ref="EJ11:EJ17"/>
    <mergeCell ref="EK11:EK17"/>
    <mergeCell ref="EL11:EL17"/>
    <mergeCell ref="CL11:CL17"/>
    <mergeCell ref="CM11:CM17"/>
    <mergeCell ref="CN11:CN17"/>
    <mergeCell ref="CO11:CO17"/>
    <mergeCell ref="AG11:AG17"/>
    <mergeCell ref="AH11:AH17"/>
    <mergeCell ref="AI11:AI17"/>
    <mergeCell ref="AJ11:AJ17"/>
    <mergeCell ref="AK11:AK17"/>
    <mergeCell ref="AL11:AL17"/>
    <mergeCell ref="AY11:AY17"/>
    <mergeCell ref="AZ11:AZ17"/>
    <mergeCell ref="BA11:BA17"/>
    <mergeCell ref="BB11:BB17"/>
    <mergeCell ref="BV13:BW15"/>
    <mergeCell ref="O8:BS8"/>
    <mergeCell ref="BT8:CX8"/>
    <mergeCell ref="CY8:DX8"/>
    <mergeCell ref="L11:L17"/>
    <mergeCell ref="M11:M17"/>
    <mergeCell ref="N11:N17"/>
    <mergeCell ref="O11:AB11"/>
    <mergeCell ref="AC11:AC17"/>
    <mergeCell ref="AD11:AD17"/>
    <mergeCell ref="O12:R12"/>
    <mergeCell ref="S12:AB12"/>
    <mergeCell ref="AM11:AM17"/>
    <mergeCell ref="AN11:AN17"/>
    <mergeCell ref="AO11:AO17"/>
    <mergeCell ref="AP11:AP17"/>
    <mergeCell ref="AQ11:AQ17"/>
    <mergeCell ref="AR11:AR17"/>
    <mergeCell ref="AS11:AS17"/>
    <mergeCell ref="AT11:AT17"/>
    <mergeCell ref="AU11:AU17"/>
    <mergeCell ref="AV11:AV17"/>
    <mergeCell ref="AW11:AW17"/>
    <mergeCell ref="AX11:AX17"/>
    <mergeCell ref="BK11:BK17"/>
    <mergeCell ref="BQ11:BQ17"/>
    <mergeCell ref="F11:F17"/>
    <mergeCell ref="G11:G17"/>
    <mergeCell ref="H11:H17"/>
    <mergeCell ref="I11:I17"/>
    <mergeCell ref="J11:J17"/>
    <mergeCell ref="K11:K17"/>
    <mergeCell ref="BP11:BP17"/>
    <mergeCell ref="BE11:BE17"/>
    <mergeCell ref="BF11:BF17"/>
    <mergeCell ref="BG11:BG17"/>
    <mergeCell ref="BH11:BH17"/>
    <mergeCell ref="BI11:BI17"/>
    <mergeCell ref="BJ11:BJ17"/>
    <mergeCell ref="BC11:BC17"/>
    <mergeCell ref="BD11:BD17"/>
    <mergeCell ref="O13:R13"/>
    <mergeCell ref="U13:X13"/>
    <mergeCell ref="Y13:AB13"/>
    <mergeCell ref="BL11:BL17"/>
    <mergeCell ref="BM11:BM17"/>
    <mergeCell ref="BN11:BN17"/>
    <mergeCell ref="BO11:BO17"/>
    <mergeCell ref="Y14:Z15"/>
    <mergeCell ref="Y16:Z16"/>
    <mergeCell ref="BX16:BY16"/>
    <mergeCell ref="BZ13:CA15"/>
    <mergeCell ref="BZ16:CA16"/>
    <mergeCell ref="CB12:CC12"/>
    <mergeCell ref="CB13:CC15"/>
    <mergeCell ref="CB16:CC16"/>
    <mergeCell ref="CD13:CE15"/>
    <mergeCell ref="CD16:CE16"/>
    <mergeCell ref="CF13:CG15"/>
    <mergeCell ref="CF16:CG16"/>
    <mergeCell ref="DG16:DH16"/>
    <mergeCell ref="DQ11:DQ17"/>
    <mergeCell ref="DR11:DR17"/>
    <mergeCell ref="DS11:DS17"/>
    <mergeCell ref="DT11:DT17"/>
    <mergeCell ref="DI14:DJ15"/>
    <mergeCell ref="DI16:DJ16"/>
    <mergeCell ref="DU11:DU17"/>
    <mergeCell ref="DV11:DV17"/>
    <mergeCell ref="DK11:DK17"/>
    <mergeCell ref="DL11:DL17"/>
    <mergeCell ref="DM11:DM17"/>
    <mergeCell ref="DN11:DN17"/>
    <mergeCell ref="DO11:DO17"/>
    <mergeCell ref="DP11:DP17"/>
    <mergeCell ref="EC11:EC17"/>
    <mergeCell ref="ED11:ED17"/>
    <mergeCell ref="EE11:EE17"/>
    <mergeCell ref="EF11:EF17"/>
    <mergeCell ref="EG11:EG17"/>
    <mergeCell ref="EH11:EH17"/>
    <mergeCell ref="DW11:DW17"/>
    <mergeCell ref="DX11:DX17"/>
    <mergeCell ref="DY11:DY17"/>
    <mergeCell ref="DZ11:DZ17"/>
    <mergeCell ref="EA11:EA17"/>
    <mergeCell ref="EB11:EB17"/>
    <mergeCell ref="FN11:FN17"/>
    <mergeCell ref="FO11:FO17"/>
    <mergeCell ref="FP11:FP17"/>
    <mergeCell ref="FQ11:FQ17"/>
    <mergeCell ref="FR11:FR17"/>
    <mergeCell ref="EV11:EV17"/>
    <mergeCell ref="EW11:EW17"/>
    <mergeCell ref="EX11:EX17"/>
    <mergeCell ref="EM11:EM17"/>
    <mergeCell ref="EN11:EN17"/>
    <mergeCell ref="EO11:EO17"/>
    <mergeCell ref="EP11:EP17"/>
    <mergeCell ref="EQ11:EQ17"/>
    <mergeCell ref="ER11:ER17"/>
    <mergeCell ref="ES11:ES17"/>
    <mergeCell ref="ET11:ET17"/>
    <mergeCell ref="EU11:EU17"/>
    <mergeCell ref="F10:FV10"/>
    <mergeCell ref="F5:BS5"/>
    <mergeCell ref="F6:BS6"/>
    <mergeCell ref="DG13:DJ13"/>
    <mergeCell ref="CH13:CK13"/>
    <mergeCell ref="FE11:FE17"/>
    <mergeCell ref="FF11:FF17"/>
    <mergeCell ref="FG11:FG17"/>
    <mergeCell ref="FH11:FH17"/>
    <mergeCell ref="FI11:FI17"/>
    <mergeCell ref="FJ11:FJ17"/>
    <mergeCell ref="EY11:EY17"/>
    <mergeCell ref="EZ11:EZ17"/>
    <mergeCell ref="FA11:FA17"/>
    <mergeCell ref="FB11:FB17"/>
    <mergeCell ref="FC11:FC17"/>
    <mergeCell ref="FD11:FD17"/>
    <mergeCell ref="FS11:FS17"/>
    <mergeCell ref="FT11:FT17"/>
    <mergeCell ref="FU11:FU17"/>
    <mergeCell ref="FV11:FV17"/>
    <mergeCell ref="FK11:FK17"/>
    <mergeCell ref="FL11:FL17"/>
    <mergeCell ref="FM11:FM17"/>
  </mergeCells>
  <dataValidations count="1">
    <dataValidation allowBlank="1" showInputMessage="1" showErrorMessage="1" sqref="AA14:AB16 U16:Z16"/>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6A40EFB-5E13-6359-834D-A8434264F7E4}" mc:Ignorable="x14ac xr xr2 xr3">
  <sheetPr>
    <tabColor theme="2" tint="-0.1"/>
  </sheetPr>
  <dimension ref="A1:T23"/>
  <sheetViews>
    <sheetView showGridLines="0" zoomScale="90" workbookViewId="0">
      <pane xSplit="7" ySplit="14" topLeftCell="H15" activePane="bottomRight" state="frozen"/>
      <selection pane="bottomLeft" activeCell="A15" sqref="A15"/>
      <selection pane="topRight" activeCell="H1" sqref="H1"/>
      <selection pane="bottomRight" activeCell="E22" sqref="E22"/>
    </sheetView>
  </sheetViews>
  <sheetFormatPr defaultColWidth="10.57421875" customHeight="1" defaultRowHeight="15"/>
  <cols>
    <col min="1" max="1" style="1632" width="9.140625" hidden="1" customWidth="1"/>
    <col min="2" max="2" style="1635" width="9.140625" hidden="1" customWidth="1"/>
    <col min="3" max="3" style="683" width="4.00390625" customWidth="1"/>
    <col min="4" max="4" style="1635" width="6.00390625" customWidth="1"/>
    <col min="5" max="5" style="1635" width="36.00390625" customWidth="1"/>
    <col min="6" max="6" style="1635" width="9.00390625" customWidth="1"/>
    <col min="7" max="7" style="1635" width="42.421875" hidden="1" customWidth="1"/>
    <col min="8" max="8" style="1635" width="40.7109375" customWidth="1"/>
    <col min="9" max="9" style="1635" width="42.421875" customWidth="1"/>
    <col min="10" max="10" style="1366" width="93.00390625" customWidth="1"/>
    <col min="11" max="18" style="1635" width="10.00390625" customWidth="1"/>
    <col min="19" max="19" style="675" width="10.00390625" customWidth="1"/>
    <col min="20" max="20" style="1635" width="10.57421875" hidden="1"/>
  </cols>
  <sheetData>
    <row s="1366" customFormat="1" customHeight="1" ht="15" hidden="1">
      <c r="C1" s="672"/>
      <c r="H1" s="417">
        <v>4</v>
      </c>
      <c r="I1" s="1366"/>
      <c r="S1" s="420"/>
      <c r="T1" s="417" t="s">
        <v>14</v>
      </c>
    </row>
    <row customHeight="1" ht="22.5" hidden="1">
      <c r="C2" s="1928" t="s">
        <v>122</v>
      </c>
      <c r="D2" s="539"/>
      <c r="E2" s="663"/>
      <c r="F2" s="1761" t="str">
        <f>IF(TEMPLATE_SPHERE="HEAT","Гкал/час","тыс. куб. м/сутки")</f>
        <v>Гкал/час</v>
      </c>
      <c r="G2" s="680"/>
      <c r="H2" s="680"/>
      <c r="I2" s="680"/>
      <c r="J2" s="289"/>
      <c r="T2" s="505">
        <v>0</v>
      </c>
    </row>
    <row s="1366" customFormat="1" customHeight="1" ht="15" hidden="1">
      <c r="C3" s="672"/>
      <c r="I3" s="1366"/>
      <c r="S3" s="420"/>
      <c r="T3" s="417">
        <v>0</v>
      </c>
    </row>
    <row customHeight="1" ht="15.75">
      <c r="C4" s="176"/>
      <c r="D4" s="509"/>
      <c r="E4" s="509"/>
      <c r="F4" s="509"/>
      <c r="G4" s="509"/>
      <c r="H4" s="509"/>
      <c r="I4" s="1635"/>
      <c r="T4" s="505">
        <v>15</v>
      </c>
    </row>
    <row customHeight="1" ht="39.75">
      <c r="C5" s="176"/>
      <c r="D5" s="2237" t="str">
        <f>TP_NAME_FORM</f>
        <v>Форма 14. Информация о наличии (об отсутствии) технической возможности подключения (технологического присоединения) к системе теплоснабжения, а также о принятии и ходе рассмотрения заявок на заключение договора о подключении (технологическом присоединении) к системе теплоснабжения</v>
      </c>
      <c r="E5" s="2237"/>
      <c r="F5" s="2237"/>
      <c r="G5" s="2237"/>
      <c r="H5" s="2237"/>
      <c r="I5" s="2248"/>
      <c r="J5" s="537"/>
      <c r="T5" s="505">
        <v>38</v>
      </c>
    </row>
    <row customHeight="1" ht="15.75">
      <c r="C6" s="176"/>
      <c r="D6" s="2176" t="str">
        <f>IF(org=0,"Не определено",org)</f>
        <v>ПАО "ОГК-2"</v>
      </c>
      <c r="E6" s="2176"/>
      <c r="F6" s="2176"/>
      <c r="G6" s="2176"/>
      <c r="H6" s="2176"/>
      <c r="I6" s="2249"/>
      <c r="J6" s="537"/>
      <c r="T6" s="505">
        <v>15</v>
      </c>
    </row>
    <row s="1635" customFormat="1" customHeight="1" ht="15.75">
      <c r="A7" s="759"/>
      <c r="C7" s="176"/>
      <c r="D7" s="676"/>
      <c r="E7" s="676"/>
      <c r="F7" s="676"/>
      <c r="G7" s="676"/>
      <c r="H7" s="752"/>
      <c r="I7" s="2407" t="s">
        <v>22</v>
      </c>
      <c r="J7" s="537"/>
      <c r="S7" s="675"/>
      <c r="T7" s="758">
        <v>15</v>
      </c>
    </row>
    <row customHeight="1" ht="1.05">
      <c r="C8" s="176"/>
      <c r="D8" s="509"/>
      <c r="E8" s="509"/>
      <c r="F8" s="509"/>
      <c r="G8" s="509"/>
      <c r="H8" s="537" t="s">
        <v>117</v>
      </c>
      <c r="I8" s="1635" t="s">
        <v>123</v>
      </c>
      <c r="T8" s="505">
        <v>1</v>
      </c>
    </row>
    <row customHeight="1" ht="15.75">
      <c r="C9" s="176"/>
      <c r="D9" s="711"/>
      <c r="E9" s="2367" t="s">
        <v>105</v>
      </c>
      <c r="F9" s="2368"/>
      <c r="G9" s="816" t="str">
        <f>IF(G8="","",INDEX(DIFFERENTIATION_UNMERGE_VD,MATCH(G8,DIFFERENTIATION_ID_DIFF,0)))</f>
        <v/>
      </c>
      <c r="H9" s="816" t="str">
        <f>IF(H8="","",INDEX(DIFFERENTIATION_UNMERGE_VD,MATCH(H8,DIFFERENTIATION_ID_DIFF,0)))</f>
        <v>Производство тепловой энергии. Некомбинированная выработка</v>
      </c>
      <c r="I9" s="2395" t="str">
        <f>IF(I8="","",INDEX(DIFFERENTIATION_UNMERGE_VD,MATCH(I8,DIFFERENTIATION_ID_DIFF,0)))</f>
        <v>Производство. Теплоноситель</v>
      </c>
      <c r="J9" s="2127" t="s">
        <v>303</v>
      </c>
      <c r="T9" s="505">
        <v>15</v>
      </c>
    </row>
    <row s="1635" customFormat="1" customHeight="1" ht="15.75">
      <c r="A10" s="759"/>
      <c r="C10" s="176"/>
      <c r="D10" s="711"/>
      <c r="E10" s="2367" t="s">
        <v>566</v>
      </c>
      <c r="F10" s="2368"/>
      <c r="G10" s="816" t="str">
        <f>IF(G8="","",INDEX(DIFFERENTIATION_UNMERGE_AREA,MATCH(G8,DIFFERENTIATION_ID_DIFF,0)))</f>
        <v/>
      </c>
      <c r="H10" s="816" t="str">
        <f>IF(H8="","",INDEX(DIFFERENTIATION_UNMERGE_AREA,MATCH(H8,DIFFERENTIATION_ID_DIFF,0)))</f>
        <v>без дифференциации</v>
      </c>
      <c r="I10" s="2395" t="str">
        <f>IF(I8="","",INDEX(DIFFERENTIATION_UNMERGE_AREA,MATCH(I8,DIFFERENTIATION_ID_DIFF,0)))</f>
        <v>без дифференциации</v>
      </c>
      <c r="J10" s="2127"/>
      <c r="S10" s="675"/>
      <c r="T10" s="758">
        <v>15</v>
      </c>
    </row>
    <row s="1635" customFormat="1" customHeight="1" ht="15.75">
      <c r="A11" s="759"/>
      <c r="C11" s="176"/>
      <c r="D11" s="711"/>
      <c r="E11" s="2367" t="s">
        <v>567</v>
      </c>
      <c r="F11" s="2368"/>
      <c r="G11" s="816" t="str">
        <f>IF(G8="","",INDEX(DIFFERENTIATION_UNMERGE_SYSTEM,MATCH(G8,DIFFERENTIATION_ID_DIFF,0)))</f>
        <v/>
      </c>
      <c r="H11" s="816" t="str">
        <f>IF(H8="","",INDEX(DIFFERENTIATION_UNMERGE_SYSTEM,MATCH(H8,DIFFERENTIATION_ID_DIFF,0)))</f>
        <v>без дифференциации</v>
      </c>
      <c r="I11" s="2395" t="str">
        <f>IF(I8="","",INDEX(DIFFERENTIATION_UNMERGE_SYSTEM,MATCH(I8,DIFFERENTIATION_ID_DIFF,0)))</f>
        <v>без дифференциации</v>
      </c>
      <c r="J11" s="2127"/>
      <c r="S11" s="675"/>
      <c r="T11" s="758">
        <v>15</v>
      </c>
    </row>
    <row s="1635" customFormat="1" customHeight="1" ht="15.75">
      <c r="A12" s="759"/>
      <c r="C12" s="176"/>
      <c r="D12" s="2369" t="s">
        <v>302</v>
      </c>
      <c r="E12" s="2370"/>
      <c r="F12" s="2370"/>
      <c r="G12" s="887"/>
      <c r="H12" s="887"/>
      <c r="I12" s="2367"/>
      <c r="J12" s="2127"/>
      <c r="S12" s="675"/>
      <c r="T12" s="758">
        <v>15</v>
      </c>
    </row>
    <row customHeight="1" ht="35.699999999999996">
      <c r="C13" s="176"/>
      <c r="D13" s="761" t="s">
        <v>88</v>
      </c>
      <c r="E13" s="760" t="s">
        <v>304</v>
      </c>
      <c r="F13" s="760" t="s">
        <v>568</v>
      </c>
      <c r="G13" s="808" t="s">
        <v>305</v>
      </c>
      <c r="H13" s="754" t="s">
        <v>305</v>
      </c>
      <c r="I13" s="2262" t="s">
        <v>305</v>
      </c>
      <c r="J13" s="2127"/>
      <c r="T13" s="505">
        <v>34</v>
      </c>
    </row>
    <row customHeight="1" ht="15" hidden="1">
      <c r="C14" s="176"/>
      <c r="D14" s="593" t="s">
        <v>109</v>
      </c>
      <c r="E14" s="593" t="s">
        <v>110</v>
      </c>
      <c r="F14" s="593" t="s">
        <v>90</v>
      </c>
      <c r="G14" s="659" t="str">
        <f>G1&amp;".1"</f>
        <v>.1</v>
      </c>
      <c r="H14" s="659" t="str">
        <f>H1&amp;".1"</f>
        <v>4.1</v>
      </c>
      <c r="I14" s="683" t="str">
        <f>I1&amp;".1"</f>
        <v>.1</v>
      </c>
      <c r="J14" s="289"/>
      <c r="T14" s="505">
        <v>0</v>
      </c>
    </row>
    <row customHeight="1" ht="15.75">
      <c r="A15" s="505"/>
      <c r="C15" s="526"/>
      <c r="D15" s="521">
        <v>1</v>
      </c>
      <c r="E15" s="1930" t="str">
        <f>TP_P_A</f>
        <v>Количество поданных заявок</v>
      </c>
      <c r="F15" s="521" t="s">
        <v>1118</v>
      </c>
      <c r="G15" s="685"/>
      <c r="H15" s="685">
        <v>0</v>
      </c>
      <c r="I15" s="685">
        <v>0</v>
      </c>
      <c r="J15" s="208" t="str">
        <f>TP_P_NOTE_A</f>
        <v>Указывается количество поданных заявок на подключение (технологическое присоединение) к системе теплоснабжения в течение отчетного квартала.</v>
      </c>
      <c r="T15" s="505">
        <v>15</v>
      </c>
    </row>
    <row customHeight="1" ht="15.75">
      <c r="A16" s="505"/>
      <c r="C16" s="526"/>
      <c r="D16" s="521">
        <v>2</v>
      </c>
      <c r="E16" s="1930" t="str">
        <f>TP_P_B</f>
        <v>Количество рассмотренных заявок</v>
      </c>
      <c r="F16" s="521" t="s">
        <v>1118</v>
      </c>
      <c r="G16" s="685"/>
      <c r="H16" s="685">
        <v>0</v>
      </c>
      <c r="I16" s="685">
        <v>0</v>
      </c>
      <c r="J16" s="208" t="str">
        <f>TP_P_NOTE_B</f>
        <v>Указывается количество исполненных заявок на подключение (технологическое присоединение) к системе теплоснабжения в течение отчетного квартала.</v>
      </c>
      <c r="T16" s="505">
        <v>15</v>
      </c>
    </row>
    <row customHeight="1" ht="77.7">
      <c r="A17" s="505"/>
      <c r="C17" s="526"/>
      <c r="D17" s="521">
        <v>3</v>
      </c>
      <c r="E17" s="1930" t="str">
        <f>TP_P_V</f>
        <v>Количество заявок на заключение договора о подключении (технологическом присоединении) к системе теплоснабжения, по которым регулируемой организацией отказано в заключении договора о подключении (технологическом присоединении) к системе теплоснабжения</v>
      </c>
      <c r="F17" s="521" t="s">
        <v>1118</v>
      </c>
      <c r="G17" s="685"/>
      <c r="H17" s="685">
        <v>0</v>
      </c>
      <c r="I17" s="685">
        <v>0</v>
      </c>
      <c r="J17" s="208" t="str">
        <f>TP_P_NOTE_V</f>
        <v>Указывается количество заявок с решением об отказе в течение отчетного квартала.</v>
      </c>
      <c r="T17" s="505">
        <v>74</v>
      </c>
    </row>
    <row customHeight="1" ht="54.75">
      <c r="A18" s="505"/>
      <c r="C18" s="526"/>
      <c r="D18" s="521">
        <v>4</v>
      </c>
      <c r="E18" s="1930" t="str">
        <f>TP_P_V_1</f>
        <v>Причины отказа в заключении договора о подключении (технологическом присоединении) к системе теплоснабжения</v>
      </c>
      <c r="F18" s="521" t="s">
        <v>308</v>
      </c>
      <c r="G18" s="686"/>
      <c r="H18" s="686"/>
      <c r="I18" s="2353"/>
      <c r="J18" s="838" t="str">
        <f>TP_P_NOTE_V_1</f>
        <v>Указывается текстовое описание причин принятия решений.
Не заполняется в случае, если решения об отказе в течение отчетного периода не принимались.</v>
      </c>
      <c r="T18" s="505">
        <v>52</v>
      </c>
    </row>
    <row customHeight="1" ht="60">
      <c r="A19" s="505"/>
      <c r="C19" s="526"/>
      <c r="D19" s="521">
        <v>5</v>
      </c>
      <c r="E19" s="1930" t="str">
        <f>TP_P_G</f>
        <v>Резерв мощности источников тепловой энергии, входящих в систему теплоснабжения, в течение одного квартала, в том числе:</v>
      </c>
      <c r="F19" s="521" t="str">
        <f>IF(TEMPLATE_SPHERE="HEAT","Гкал/час","тыс. куб. м/сутки")</f>
        <v>Гкал/час</v>
      </c>
      <c r="G19" s="687">
        <f>SUM(G20:G22)</f>
        <v>0</v>
      </c>
      <c r="H19" s="687">
        <f>SUM(H20:H22)</f>
        <v>0</v>
      </c>
      <c r="I19" s="687">
        <f>SUM(I20:I22)</f>
        <v>0</v>
      </c>
      <c r="J19" s="208" t="str">
        <f>TP_P_NOTE_G</f>
        <v>Указывается резерв мощности для системы теплоснабжения, тариф для которой не является отличным от тарифов других систем теплоснабжения регулируемой организации.
При использовании регулируемой организацией нескольких систем теплоснабжения информация о резерве мощности источников тепловой энергии таких систем раскрывается в отношении каждой системы теплоснабжения в отдельных строках. </v>
      </c>
      <c r="T19" s="505">
        <v>57</v>
      </c>
    </row>
    <row customHeight="1" ht="15" hidden="1">
      <c r="D20" s="509" t="s">
        <v>1119</v>
      </c>
      <c r="E20" s="688"/>
      <c r="F20" s="509"/>
      <c r="G20" s="509"/>
      <c r="H20" s="509"/>
      <c r="I20" s="1635"/>
      <c r="J20" s="1763"/>
      <c r="T20" s="505">
        <v>0</v>
      </c>
    </row>
    <row customHeight="1" ht="29.25">
      <c r="C21" s="451"/>
      <c r="D21" s="539" t="s">
        <v>315</v>
      </c>
      <c r="E21" s="670" t="s">
        <v>378</v>
      </c>
      <c r="F21" s="1761" t="str">
        <f>IF(TEMPLATE_SPHERE="HEAT","Гкал/час","тыс. куб. м/сутки")</f>
        <v>Гкал/час</v>
      </c>
      <c r="G21" s="680"/>
      <c r="H21" s="680"/>
      <c r="I21" s="680"/>
      <c r="J21" s="2169" t="str">
        <f>TP_P_NOTE_G_1</f>
        <v>Указывается резерв мощности для системы теплоснабжения, тариф для которой не является отличным от тарифов других систем теплоснабжения регулируемой организации.
При использовании регулируемой организацией нескольких систем теплоснабжения информация о резерве мощности источников тепловой энергии таких систем раскрывается в отношении каждой системы теплоснабжения в отдельных строках. </v>
      </c>
      <c r="T21" s="505">
        <v>28</v>
      </c>
    </row>
    <row customHeight="1" ht="15.75">
      <c r="A22" s="505"/>
      <c r="C22" s="505"/>
      <c r="D22" s="347"/>
      <c r="E22" s="580" t="s">
        <v>1120</v>
      </c>
      <c r="F22" s="572"/>
      <c r="G22" s="572"/>
      <c r="H22" s="572"/>
      <c r="I22" s="2657"/>
      <c r="J22" s="2171"/>
      <c r="S22" s="505"/>
      <c r="T22" s="505">
        <v>15</v>
      </c>
    </row>
    <row customHeight="1" ht="22.5" hidden="1">
      <c r="A23" s="449" t="s">
        <v>82</v>
      </c>
      <c r="B23" s="505">
        <v>0</v>
      </c>
      <c r="C23" s="683">
        <v>4</v>
      </c>
      <c r="D23" s="505">
        <v>6</v>
      </c>
      <c r="E23" s="505">
        <v>36</v>
      </c>
      <c r="F23" s="505">
        <v>9</v>
      </c>
      <c r="G23" s="758">
        <v>0</v>
      </c>
      <c r="H23" s="505">
        <v>40</v>
      </c>
      <c r="I23" s="1635">
        <v>0</v>
      </c>
      <c r="J23" s="417">
        <v>93</v>
      </c>
      <c r="K23" s="505">
        <v>10</v>
      </c>
      <c r="L23" s="505">
        <v>10</v>
      </c>
      <c r="M23" s="505">
        <v>10</v>
      </c>
      <c r="N23" s="505">
        <v>10</v>
      </c>
      <c r="O23" s="505">
        <v>10</v>
      </c>
      <c r="P23" s="505">
        <v>10</v>
      </c>
      <c r="Q23" s="505">
        <v>10</v>
      </c>
      <c r="R23" s="505">
        <v>10</v>
      </c>
      <c r="S23" s="675">
        <v>10</v>
      </c>
      <c r="T23" s="505">
        <v>23</v>
      </c>
    </row>
  </sheetData>
  <sheetProtection formatColumns="0" formatRows="0" autoFilter="0" sort="0" insertRows="0" insertColumns="1" deleteRows="0" deleteColumns="0"/>
  <mergeCells count="8">
    <mergeCell ref="J21:J22"/>
    <mergeCell ref="J9:J13"/>
    <mergeCell ref="D5:H5"/>
    <mergeCell ref="D6:H6"/>
    <mergeCell ref="E9:F9"/>
    <mergeCell ref="E10:F10"/>
    <mergeCell ref="E11:F11"/>
    <mergeCell ref="D12:F12"/>
  </mergeCells>
  <dataValidations count="4">
    <dataValidation allowBlank="1" showInputMessage="1" showErrorMessage="1" prompt="Количество поданных заявок на подключение (технологическое присоединение) к системе теплоснабжения в течение квартала, шт." sqref="E15 E13"/>
    <dataValidation type="textLength" operator="lessThanOrEqual" allowBlank="1" showInputMessage="1" showErrorMessage="1" errorTitle="Ошибка" error="Допускается ввод не более 900 символов!" sqref="E21 E2 G18:I18">
      <formula1>900</formula1>
    </dataValidation>
    <dataValidation type="whole" allowBlank="1" showErrorMessage="1" errorTitle="Ошибка" error="Допускается ввод только неотрицательных целых чисел!" sqref="G15:I17">
      <formula1>0</formula1>
      <formula2>9.99999999999999E+23</formula2>
    </dataValidation>
    <dataValidation type="decimal" allowBlank="1" showErrorMessage="1" errorTitle="Ошибка" error="Допускается ввод только действительных чисел!" sqref="G2:I2 G21:I21">
      <formula1>-9.99999999999999E+23</formula1>
      <formula2>9.99999999999999E+23</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1236917-D6C2-D85F-F223-7544C0058C19}" mc:Ignorable="x14ac xr xr2 xr3">
  <sheetPr>
    <tabColor theme="6" tint="0.4"/>
    <pageSetUpPr fitToPage="1"/>
  </sheetPr>
  <dimension ref="A1:Q32"/>
  <sheetViews>
    <sheetView showGridLines="0" zoomScale="90" workbookViewId="0">
      <pane xSplit="5" ySplit="13" topLeftCell="F14" activePane="bottomRight" state="frozen"/>
      <selection pane="bottomLeft" activeCell="A14" sqref="A14"/>
      <selection pane="topRight" activeCell="F1" sqref="F1"/>
      <selection pane="bottomRight" activeCell="A1" sqref="A1"/>
    </sheetView>
  </sheetViews>
  <sheetFormatPr defaultColWidth="10.57421875" customHeight="1" defaultRowHeight="14.25"/>
  <cols>
    <col min="1" max="1" style="2397" width="9.140625" hidden="1" customWidth="1"/>
    <col min="2" max="2" style="1366" width="9.140625" hidden="1" customWidth="1"/>
    <col min="3" max="3" style="344" width="3.00390625" customWidth="1"/>
    <col min="4" max="4" style="1635" width="6.00390625" customWidth="1"/>
    <col min="5" max="6" style="1635" width="64.00390625" customWidth="1"/>
    <col min="7" max="7" style="1635" width="140.00390625" customWidth="1"/>
    <col min="8" max="8" style="1635" width="10.00390625" customWidth="1"/>
    <col min="9" max="10" style="1624" width="10.00390625" customWidth="1"/>
    <col min="11" max="16" style="1635" width="10.00390625" customWidth="1"/>
    <col min="17" max="17" style="1635" width="10.57421875" hidden="1"/>
  </cols>
  <sheetData>
    <row customHeight="1" ht="22.5" hidden="1">
      <c r="M1" s="255"/>
      <c r="N1" s="255"/>
      <c r="P1" s="255"/>
      <c r="Q1" s="83" t="s">
        <v>14</v>
      </c>
    </row>
    <row customHeight="1" ht="14.25" hidden="1">
      <c r="Q2" s="83">
        <v>0</v>
      </c>
    </row>
    <row customHeight="1" ht="14.25" hidden="1">
      <c r="Q3" s="83">
        <v>0</v>
      </c>
    </row>
    <row customHeight="1" ht="3">
      <c r="C4" s="96"/>
      <c r="D4" s="84"/>
      <c r="E4" s="84"/>
      <c r="F4" s="85"/>
      <c r="G4" s="85"/>
      <c r="Q4" s="83">
        <v>3</v>
      </c>
    </row>
    <row customHeight="1" ht="29.25">
      <c r="C5" s="96"/>
      <c r="D5" s="2454" t="str">
        <f>TERMS_NAME_FORM</f>
        <v>Форма 15. Информация об условиях, на которых осуществляется поставка товаров (оказание услуг) в сфере теплоснабжения, цены (тарифы) на которые подлежат регулированию, и (или) условиях договоров о подключении (технологическом присоединении) к системе теплоснабжения, информация об условиях, на которых осуществляется поставка товаров (оказание услуг) по ценам, определяемым по соглашению сторон в соответствии с Федеральным законом от 27 июля 2010 г. N 190-ФЗ "О теплоснабжении", и (или) условиях договоров о подключении (технологическом присоединении) к системе теплоснабжения</v>
      </c>
      <c r="E5" s="2455"/>
      <c r="F5" s="2455"/>
      <c r="G5" s="2456"/>
      <c r="Q5" s="83">
        <v>28</v>
      </c>
    </row>
    <row s="1635" customFormat="1" customHeight="1" ht="18.75">
      <c r="A6" s="882"/>
      <c r="B6" s="417"/>
      <c r="C6" s="376"/>
      <c r="D6" s="2457" t="str">
        <f>IF(org=0,"Не определено",org)</f>
        <v>ПАО "ОГК-2"</v>
      </c>
      <c r="E6" s="2458"/>
      <c r="F6" s="2458"/>
      <c r="G6" s="2459"/>
      <c r="I6" s="500"/>
      <c r="J6" s="500"/>
      <c r="Q6" s="758">
        <v>18</v>
      </c>
    </row>
    <row customHeight="1" ht="14.699999999999998">
      <c r="C7" s="96"/>
      <c r="D7" s="84"/>
      <c r="E7" s="95"/>
      <c r="F7" s="752"/>
      <c r="G7" s="193"/>
      <c r="Q7" s="83">
        <v>14</v>
      </c>
    </row>
    <row s="1635" customFormat="1" customHeight="1" ht="1.05">
      <c r="A8" s="1669"/>
      <c r="B8" s="1160"/>
      <c r="C8" s="376"/>
      <c r="D8" s="363"/>
      <c r="E8" s="389"/>
      <c r="F8" s="752"/>
      <c r="G8" s="193"/>
      <c r="I8" s="1624"/>
      <c r="J8" s="1624"/>
      <c r="Q8" s="1631">
        <v>1</v>
      </c>
    </row>
    <row customHeight="1" ht="14.699999999999998">
      <c r="C9" s="96"/>
      <c r="D9" s="2209" t="s">
        <v>302</v>
      </c>
      <c r="E9" s="2209"/>
      <c r="F9" s="2209"/>
      <c r="G9" s="2389" t="s">
        <v>303</v>
      </c>
      <c r="Q9" s="83">
        <v>14</v>
      </c>
    </row>
    <row customHeight="1" ht="24">
      <c r="C10" s="96"/>
      <c r="D10" s="105" t="s">
        <v>88</v>
      </c>
      <c r="E10" s="108" t="s">
        <v>304</v>
      </c>
      <c r="F10" s="108" t="s">
        <v>392</v>
      </c>
      <c r="G10" s="2389"/>
      <c r="Q10" s="83">
        <v>23</v>
      </c>
    </row>
    <row customHeight="1" ht="12" hidden="1">
      <c r="C11" s="96"/>
      <c r="D11" s="87"/>
      <c r="E11" s="87"/>
      <c r="F11" s="87"/>
      <c r="G11" s="87"/>
      <c r="Q11" s="83">
        <v>0</v>
      </c>
    </row>
    <row customHeight="1" ht="65.25">
      <c r="A12" s="192"/>
      <c r="C12" s="96"/>
      <c r="D12" s="147">
        <v>1</v>
      </c>
      <c r="E12" s="197" t="str">
        <f>TERMS_P_1</f>
        <v>Сведения об условиях публичных договоров регулируемых организаций,  сведения об условиях публичных договоров, заключаемых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в том числе</v>
      </c>
      <c r="F12" s="198" t="s">
        <v>308</v>
      </c>
      <c r="G12" s="151"/>
      <c r="Q12" s="83">
        <v>62</v>
      </c>
    </row>
    <row customHeight="1" ht="24">
      <c r="A13" s="192"/>
      <c r="C13" s="96"/>
      <c r="D13" s="147" t="s">
        <v>1025</v>
      </c>
      <c r="E13" s="194" t="str">
        <f>"Форма публичного договора "&amp;IF(TEMPLATE_SPHERE="TKO","на оказание регулируемых услуг","поставки товаров (оказания услуг)")&amp;IF(OR(TEMPLATE_SPHERE&lt;&gt;"HEAT",TEMPLATE_SPHERE&lt;&gt;"TKO"),", тарифы на которые подлежат регулированию","")</f>
        <v>Форма публичного договора поставки товаров (оказания услуг), тарифы на которые подлежат регулированию</v>
      </c>
      <c r="F13" s="198" t="s">
        <v>308</v>
      </c>
      <c r="G13" s="151"/>
      <c r="Q13" s="83">
        <v>23</v>
      </c>
    </row>
    <row customHeight="1" ht="14.699999999999998">
      <c r="A14" s="192"/>
      <c r="C14" s="96"/>
      <c r="D14" s="147" t="s">
        <v>1061</v>
      </c>
      <c r="E14" s="195"/>
      <c r="F14" s="213"/>
      <c r="G14" s="2169" t="str">
        <f>"Указывается форма "&amp;IF(TEMPLATE_SPHERE="TKO","публичного ","")&amp;"договора, "&amp;IF(TEMPLATE_SPHERE="HEAT","","используемая регулируемой организацией, ")&amp;"в виде ссылки на документ, предварительно загруженный в хранилище файлов ФГИС ЕИАС"&amp;IF(TEMPLATE_SPHERE="TKO",", либо ссылка на официальный сайт в сети ""Интернет"", на котором размещена информация","")&amp;".
В случае наличия нескольких форм таких договоров информация по каждой из них указывается в отдельной строке."</f>
        <v>Указывается форма договора, в виде ссылки на документ, предварительно загруженный в хранилище файлов ФГИС ЕИАС.
В случае наличия нескольких форм таких договоров информация по каждой из них указывается в отдельной строке.</v>
      </c>
      <c r="Q14" s="83">
        <v>14</v>
      </c>
    </row>
    <row customHeight="1" ht="15.75">
      <c r="A15" s="192"/>
      <c r="C15" s="96"/>
      <c r="D15" s="109"/>
      <c r="E15" s="349" t="s">
        <v>1121</v>
      </c>
      <c r="F15" s="201"/>
      <c r="G15" s="2171"/>
      <c r="Q15" s="83">
        <v>15</v>
      </c>
    </row>
    <row customHeight="1" ht="14.699999999999998">
      <c r="A16" s="192"/>
      <c r="C16" s="96"/>
      <c r="D16" s="147" t="s">
        <v>1027</v>
      </c>
      <c r="E16" s="194" t="str">
        <f>"Договор о подключении (технологическом присоединении) к"&amp;IF(TEMPLATE_SPHERE="HEAT",""," централизованной")&amp;" системе "&amp;TEMPLATE_SPHERE_RUS</f>
        <v>Договор о подключении (технологическом присоединении) к системе теплоснабжения</v>
      </c>
      <c r="F16" s="198" t="s">
        <v>308</v>
      </c>
      <c r="G16" s="337"/>
      <c r="Q16" s="83">
        <v>14</v>
      </c>
    </row>
    <row customHeight="1" ht="14.699999999999998">
      <c r="A17" s="192"/>
      <c r="C17" s="96"/>
      <c r="D17" s="147" t="s">
        <v>1069</v>
      </c>
      <c r="E17" s="195"/>
      <c r="F17" s="385"/>
      <c r="G17" s="2169" t="str">
        <f>"Информация размещается в случае, если"&amp;IF(TEMPLATE_SPHERE="HEAT",""," регулируемая")&amp;" организация осуществляет услуги по подключению (технологическому присоединению) к системе "&amp;TEMPLATE_SPHERE_RUS&amp;".
Указывается ссылка на документ, предварительно загруженный в хранилище файлов ФГИС ЕИАС.
В случае наличия нескольких договоров о подключении к"&amp;IF(TEMPLATE_SPHERE="HEAT",""," централизованной")&amp;" системе "&amp;TEMPLATE_SPHERE_RUS&amp;" информация по каждому из них указывается в отдельной строке."</f>
        <v>Информация размещается в случае, если организация осуществляет услуги по подключению (технологическому присоединению) к системе теплоснабжения.
Указывается ссылка на документ, предварительно загруженный в хранилище файлов ФГИС ЕИАС.
В случае наличия нескольких договоров о подключении к системе теплоснабжения информация по каждому из них указывается в отдельной строке.</v>
      </c>
      <c r="Q17" s="83">
        <v>14</v>
      </c>
    </row>
    <row s="1635" customFormat="1" customHeight="1" ht="22.049999999999997">
      <c r="A18" s="343"/>
      <c r="B18" s="146"/>
      <c r="C18" s="307"/>
      <c r="D18" s="347"/>
      <c r="E18" s="349" t="s">
        <v>1122</v>
      </c>
      <c r="F18" s="338"/>
      <c r="G18" s="2171"/>
      <c r="I18" s="350"/>
      <c r="J18" s="350"/>
      <c r="Q18" s="342">
        <v>21</v>
      </c>
    </row>
    <row s="1635" customFormat="1" customHeight="1" ht="256.5" hidden="1">
      <c r="A19" s="343"/>
      <c r="B19" s="417"/>
      <c r="C19" s="376"/>
      <c r="D19" s="884" t="s">
        <v>1029</v>
      </c>
      <c r="E19" s="883" t="s">
        <v>1123</v>
      </c>
      <c r="F19" s="385"/>
      <c r="G19" s="337" t="s">
        <v>1124</v>
      </c>
      <c r="I19" s="500"/>
      <c r="J19" s="500"/>
      <c r="Q19" s="758">
        <v>0</v>
      </c>
    </row>
    <row s="1635" customFormat="1" customHeight="1" ht="14.699999999999998">
      <c r="A20" s="343"/>
      <c r="B20" s="146"/>
      <c r="C20" s="307"/>
      <c r="D20" s="885">
        <v>2</v>
      </c>
      <c r="E20" s="330" t="s">
        <v>1125</v>
      </c>
      <c r="F20" s="198" t="s">
        <v>308</v>
      </c>
      <c r="G20" s="337"/>
      <c r="I20" s="350"/>
      <c r="J20" s="350"/>
      <c r="Q20" s="342">
        <v>14</v>
      </c>
    </row>
    <row s="1635" customFormat="1" customHeight="1" ht="18.75" hidden="1">
      <c r="A21" s="343"/>
      <c r="B21" s="146"/>
      <c r="C21" s="307"/>
      <c r="D21" s="333" t="s">
        <v>639</v>
      </c>
      <c r="E21" s="332"/>
      <c r="F21" s="331"/>
      <c r="G21" s="341"/>
      <c r="H21" s="334"/>
      <c r="I21" s="350"/>
      <c r="J21" s="350"/>
      <c r="Q21" s="342">
        <v>0</v>
      </c>
    </row>
    <row customHeight="1" ht="15.75">
      <c r="A22" s="192"/>
      <c r="C22" s="96"/>
      <c r="D22" s="109"/>
      <c r="E22" s="203" t="s">
        <v>324</v>
      </c>
      <c r="F22" s="338"/>
      <c r="G22" s="339"/>
      <c r="Q22" s="83">
        <v>15</v>
      </c>
    </row>
    <row s="1635" customFormat="1" customHeight="1" ht="22.5" hidden="1">
      <c r="A23" s="343"/>
      <c r="B23" s="1160"/>
      <c r="C23" s="376"/>
      <c r="D23" s="1673" t="s">
        <v>110</v>
      </c>
      <c r="E23" s="197" t="s">
        <v>1126</v>
      </c>
      <c r="F23" s="1670" t="s">
        <v>308</v>
      </c>
      <c r="G23" s="345"/>
      <c r="I23" s="1624"/>
      <c r="J23" s="1624"/>
      <c r="Q23" s="1631">
        <v>0</v>
      </c>
    </row>
    <row s="1635" customFormat="1" customHeight="1" ht="14.25" hidden="1">
      <c r="A24" s="343"/>
      <c r="B24" s="1160"/>
      <c r="C24" s="376"/>
      <c r="D24" s="1673" t="s">
        <v>711</v>
      </c>
      <c r="E24" s="1672" t="s">
        <v>1127</v>
      </c>
      <c r="F24" s="1670" t="s">
        <v>308</v>
      </c>
      <c r="G24" s="337"/>
      <c r="I24" s="1624"/>
      <c r="J24" s="1624"/>
      <c r="Q24" s="1631">
        <v>0</v>
      </c>
    </row>
    <row s="1635" customFormat="1" customHeight="1" ht="14.25" hidden="1">
      <c r="A25" s="343"/>
      <c r="B25" s="1160"/>
      <c r="C25" s="376"/>
      <c r="D25" s="1673" t="s">
        <v>714</v>
      </c>
      <c r="E25" s="195"/>
      <c r="F25" s="385"/>
      <c r="G25" s="2169" t="s">
        <v>1128</v>
      </c>
      <c r="I25" s="1624"/>
      <c r="J25" s="1624"/>
      <c r="Q25" s="1631">
        <v>0</v>
      </c>
    </row>
    <row s="1635" customFormat="1" customHeight="1" ht="22.5" hidden="1">
      <c r="A26" s="343"/>
      <c r="B26" s="1160"/>
      <c r="C26" s="376"/>
      <c r="D26" s="347"/>
      <c r="E26" s="349" t="s">
        <v>1129</v>
      </c>
      <c r="F26" s="338"/>
      <c r="G26" s="2171"/>
      <c r="I26" s="1624"/>
      <c r="J26" s="1624"/>
      <c r="Q26" s="1631">
        <v>0</v>
      </c>
    </row>
    <row customHeight="1" ht="3">
      <c r="Q27" s="83">
        <v>3</v>
      </c>
    </row>
    <row customHeight="1" ht="14.699999999999998">
      <c r="D28" s="336"/>
      <c r="E28" s="335"/>
      <c r="F28" s="315"/>
      <c r="G28" s="315"/>
      <c r="H28" s="315"/>
      <c r="I28" s="315"/>
      <c r="J28" s="315"/>
      <c r="K28" s="315"/>
      <c r="L28" s="315"/>
      <c r="M28" s="315"/>
      <c r="N28" s="315"/>
      <c r="O28" s="315"/>
      <c r="P28" s="315"/>
      <c r="Q28" s="83">
        <v>14</v>
      </c>
    </row>
    <row customHeight="1" ht="14.699999999999998">
      <c r="D29" s="336"/>
      <c r="E29" s="582"/>
      <c r="Q29" s="83">
        <v>14</v>
      </c>
    </row>
    <row customHeight="1" ht="14.699999999999998">
      <c r="Q30" s="83">
        <v>14</v>
      </c>
    </row>
    <row customHeight="1" ht="14.699999999999998">
      <c r="E31" s="758"/>
      <c r="Q31" s="83">
        <v>14</v>
      </c>
    </row>
    <row customHeight="1" ht="22.5" hidden="1">
      <c r="A32" s="101" t="s">
        <v>82</v>
      </c>
      <c r="B32" s="146">
        <v>0</v>
      </c>
      <c r="C32" s="97">
        <v>3</v>
      </c>
      <c r="D32" s="83">
        <v>6</v>
      </c>
      <c r="E32" s="83">
        <v>64</v>
      </c>
      <c r="F32" s="83">
        <v>64</v>
      </c>
      <c r="G32" s="83">
        <v>140</v>
      </c>
      <c r="H32" s="83">
        <v>10</v>
      </c>
      <c r="I32" s="155">
        <v>10</v>
      </c>
      <c r="J32" s="155">
        <v>10</v>
      </c>
      <c r="K32" s="83">
        <v>10</v>
      </c>
      <c r="L32" s="83">
        <v>10</v>
      </c>
      <c r="M32" s="83">
        <v>10</v>
      </c>
      <c r="N32" s="83">
        <v>10</v>
      </c>
      <c r="O32" s="83">
        <v>10</v>
      </c>
      <c r="P32" s="83">
        <v>10</v>
      </c>
      <c r="Q32" s="83">
        <v>23</v>
      </c>
    </row>
  </sheetData>
  <sheetProtection formatColumns="0" formatRows="0" autoFilter="0" sort="0" insertRows="0" insertColumns="1" deleteRows="0" deleteColumns="0"/>
  <mergeCells count="7">
    <mergeCell ref="D5:G5"/>
    <mergeCell ref="D6:G6"/>
    <mergeCell ref="G25:G26"/>
    <mergeCell ref="G17:G18"/>
    <mergeCell ref="D9:F9"/>
    <mergeCell ref="G9:G10"/>
    <mergeCell ref="G14:G15"/>
  </mergeCells>
  <dataValidations count="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F14 F17:F19 F25:F26">
      <formula1>900</formula1>
    </dataValidation>
    <dataValidation type="textLength" operator="lessThanOrEqual" allowBlank="1" showInputMessage="1" showErrorMessage="1" errorTitle="Ошибка" error="Допускается ввод не более 900 символов!" sqref="G14 G25 E17 E14 G17 G21 E25">
      <formula1>900</formula1>
    </dataValidation>
  </dataValidations>
  <printOptions horizontalCentered="1" verticalCentered="1"/>
  <pageMargins left="0.00" right="0.00" top="0.00" bottom="0.00" header="0.00" footer="0.79"/>
  <pageSetup paperSize="9" scale="41" fitToHeight="0" pageOrder="downThenOver" orientation="portrait" blackAndWhite="1"/>
  <headerFooter>
    <oddHeader>&amp;L&amp;C&amp;R</oddHeader>
    <oddFooter>&amp;L&amp;C&amp;R</oddFooter>
    <evenHeader>&amp;L&amp;C&amp;R</evenHeader>
    <evenFooter>&amp;L&amp;C&amp;R</evenFooter>
  </headerFooter>
</worksheet>
</file>

<file path=xl/worksheets/sheet4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F39D73E-D119-35C5-C9EE-0B2873261E59}" mc:Ignorable="x14ac xr xr2 xr3">
  <sheetPr>
    <tabColor theme="6" tint="0.4"/>
  </sheetPr>
  <dimension ref="A1:M43"/>
  <sheetViews>
    <sheetView showGridLines="0" zoomScale="90" workbookViewId="0">
      <pane xSplit="6" ySplit="21" topLeftCell="G22" activePane="bottomRight" state="frozen"/>
      <selection pane="bottomLeft" activeCell="A22" sqref="A22"/>
      <selection pane="topRight" activeCell="G1" sqref="G1"/>
      <selection pane="bottomRight" activeCell="A1" sqref="A1"/>
    </sheetView>
  </sheetViews>
  <sheetFormatPr defaultColWidth="10.57421875" customHeight="1" defaultRowHeight="14.25"/>
  <cols>
    <col min="1" max="1" style="1776" width="9.140625" hidden="1" customWidth="1"/>
    <col min="2" max="2" style="1366" width="9.140625" hidden="1" customWidth="1"/>
    <col min="3" max="3" style="344" width="3.00390625" customWidth="1"/>
    <col min="4" max="4" style="1635" width="6.00390625" customWidth="1"/>
    <col min="5" max="5" style="1635" width="63.00390625" customWidth="1"/>
    <col min="6" max="6" style="1635" width="1.7109375" hidden="1" customWidth="1"/>
    <col min="7" max="8" style="1635" width="35.00390625" customWidth="1"/>
    <col min="9" max="9" style="1635" width="91.00390625" customWidth="1"/>
    <col min="10" max="10" style="1635" width="68.00390625" customWidth="1"/>
    <col min="11" max="12" style="1624" width="10.00390625" customWidth="1"/>
    <col min="13" max="13" style="1635" width="10.57421875" hidden="1"/>
  </cols>
  <sheetData>
    <row customHeight="1" ht="22.5" hidden="1">
      <c r="M1" s="83" t="s">
        <v>14</v>
      </c>
    </row>
    <row s="1635" customFormat="1" customHeight="1" ht="18.75" hidden="1">
      <c r="A2" s="1683"/>
      <c r="B2" s="1160"/>
      <c r="C2" s="1730" t="s">
        <v>122</v>
      </c>
      <c r="D2" s="1673"/>
      <c r="E2" s="199"/>
      <c r="F2" s="1670"/>
      <c r="G2" s="1670" t="s">
        <v>308</v>
      </c>
      <c r="H2" s="1161"/>
      <c r="K2" s="1624"/>
      <c r="L2" s="1624"/>
      <c r="M2" s="1631">
        <v>0</v>
      </c>
    </row>
    <row s="1635" customFormat="1" customHeight="1" ht="14.25" hidden="1">
      <c r="A3" s="1362"/>
      <c r="B3" s="1160"/>
      <c r="C3" s="344"/>
      <c r="K3" s="1624"/>
      <c r="L3" s="1624"/>
      <c r="M3" s="1631">
        <v>0</v>
      </c>
    </row>
    <row s="1635" customFormat="1" customHeight="1" ht="18.75" hidden="1">
      <c r="A4" s="1683"/>
      <c r="B4" s="1160"/>
      <c r="C4" s="1730" t="s">
        <v>122</v>
      </c>
      <c r="D4" s="1673"/>
      <c r="E4" s="205" t="s">
        <v>1130</v>
      </c>
      <c r="F4" s="1670"/>
      <c r="G4" s="257"/>
      <c r="H4" s="1670" t="s">
        <v>308</v>
      </c>
      <c r="K4" s="1624"/>
      <c r="L4" s="1624"/>
      <c r="M4" s="1631">
        <v>0</v>
      </c>
    </row>
    <row s="1635" customFormat="1" customHeight="1" ht="14.25" hidden="1">
      <c r="A5" s="1362"/>
      <c r="B5" s="1160"/>
      <c r="C5" s="344"/>
      <c r="K5" s="1624"/>
      <c r="L5" s="1624"/>
      <c r="M5" s="1631">
        <v>0</v>
      </c>
    </row>
    <row s="1635" customFormat="1" customHeight="1" ht="18.75" hidden="1">
      <c r="A6" s="1683"/>
      <c r="B6" s="1160"/>
      <c r="C6" s="1730" t="s">
        <v>122</v>
      </c>
      <c r="D6" s="1673"/>
      <c r="E6" s="206" t="s">
        <v>1131</v>
      </c>
      <c r="F6" s="1670"/>
      <c r="G6" s="257"/>
      <c r="H6" s="1670" t="s">
        <v>308</v>
      </c>
      <c r="K6" s="1624"/>
      <c r="L6" s="1624"/>
      <c r="M6" s="1631">
        <v>0</v>
      </c>
    </row>
    <row s="1635" customFormat="1" customHeight="1" ht="14.25" hidden="1">
      <c r="A7" s="1362"/>
      <c r="B7" s="1160"/>
      <c r="C7" s="344"/>
      <c r="K7" s="1624"/>
      <c r="L7" s="1624"/>
      <c r="M7" s="1631">
        <v>0</v>
      </c>
    </row>
    <row s="1635" customFormat="1" customHeight="1" ht="18.75" hidden="1">
      <c r="A8" s="1683"/>
      <c r="B8" s="1160"/>
      <c r="C8" s="1730" t="s">
        <v>122</v>
      </c>
      <c r="D8" s="1673"/>
      <c r="E8" s="206" t="s">
        <v>1132</v>
      </c>
      <c r="F8" s="1670"/>
      <c r="G8" s="257"/>
      <c r="H8" s="1670" t="s">
        <v>308</v>
      </c>
      <c r="K8" s="1624"/>
      <c r="L8" s="1624"/>
      <c r="M8" s="1631">
        <v>0</v>
      </c>
    </row>
    <row s="1635" customFormat="1" customHeight="1" ht="14.25" hidden="1">
      <c r="A9" s="1362"/>
      <c r="B9" s="1160"/>
      <c r="C9" s="344"/>
      <c r="K9" s="1624"/>
      <c r="L9" s="1624"/>
      <c r="M9" s="1631">
        <v>0</v>
      </c>
    </row>
    <row s="1635" customFormat="1" customHeight="1" ht="18.75" hidden="1">
      <c r="A10" s="1683"/>
      <c r="B10" s="1160"/>
      <c r="C10" s="1730" t="s">
        <v>122</v>
      </c>
      <c r="D10" s="1673"/>
      <c r="E10" s="206" t="s">
        <v>1133</v>
      </c>
      <c r="F10" s="1670"/>
      <c r="G10" s="1674"/>
      <c r="H10" s="1670" t="s">
        <v>308</v>
      </c>
      <c r="K10" s="1624"/>
      <c r="L10" s="1624" t="s">
        <v>1134</v>
      </c>
      <c r="M10" s="1631">
        <v>0</v>
      </c>
    </row>
    <row customHeight="1" ht="14.25" hidden="1">
      <c r="M11" s="83">
        <v>0</v>
      </c>
    </row>
    <row customHeight="1" ht="14.25" hidden="1">
      <c r="M12" s="83">
        <v>0</v>
      </c>
    </row>
    <row customHeight="1" ht="14.699999999999998">
      <c r="C13" s="96"/>
      <c r="D13" s="84"/>
      <c r="E13" s="84"/>
      <c r="F13" s="84"/>
      <c r="G13" s="84"/>
      <c r="H13" s="85"/>
      <c r="I13" s="85"/>
      <c r="M13" s="83">
        <v>14</v>
      </c>
    </row>
    <row customHeight="1" ht="29.25">
      <c r="C14" s="96"/>
      <c r="D14" s="2454" t="str">
        <f>PROCEDURE_TC_NAME_FORM</f>
        <v>Форма 16. Информация о порядке выполнения технологических, технических и других мероприятий, связанных с подключением (технологическим присоединением) к системе теплоснабжения</v>
      </c>
      <c r="E14" s="2455"/>
      <c r="F14" s="2455"/>
      <c r="G14" s="2455"/>
      <c r="H14" s="2456"/>
      <c r="J14" s="1631"/>
      <c r="M14" s="83">
        <v>28</v>
      </c>
    </row>
    <row s="1635" customFormat="1" customHeight="1" ht="14.699999999999998">
      <c r="A15" s="1362"/>
      <c r="B15" s="1160"/>
      <c r="C15" s="376"/>
      <c r="D15" s="2457" t="str">
        <f>IF(org=0,"Не определено",org)</f>
        <v>ПАО "ОГК-2"</v>
      </c>
      <c r="E15" s="2458"/>
      <c r="F15" s="2458"/>
      <c r="G15" s="2458"/>
      <c r="H15" s="2459"/>
      <c r="J15" s="852"/>
      <c r="K15" s="1624"/>
      <c r="L15" s="1624"/>
      <c r="M15" s="1631">
        <v>14</v>
      </c>
    </row>
    <row customHeight="1" ht="14.699999999999998">
      <c r="C16" s="96"/>
      <c r="D16" s="84"/>
      <c r="E16" s="95"/>
      <c r="F16" s="95"/>
      <c r="G16" s="95"/>
      <c r="H16" s="752"/>
      <c r="I16" s="193"/>
      <c r="M16" s="83">
        <v>14</v>
      </c>
    </row>
    <row s="1635" customFormat="1" customHeight="1" ht="14.25" hidden="1">
      <c r="A17" s="1362"/>
      <c r="B17" s="1160"/>
      <c r="C17" s="376"/>
      <c r="D17" s="363"/>
      <c r="E17" s="389"/>
      <c r="F17" s="389"/>
      <c r="G17" s="389"/>
      <c r="H17" s="752"/>
      <c r="I17" s="193"/>
      <c r="K17" s="1624"/>
      <c r="L17" s="1624"/>
      <c r="M17" s="1631">
        <v>0</v>
      </c>
    </row>
    <row customHeight="1" ht="22.049999999999997">
      <c r="C18" s="96"/>
      <c r="D18" s="2209" t="s">
        <v>302</v>
      </c>
      <c r="E18" s="2209"/>
      <c r="F18" s="2209"/>
      <c r="G18" s="2209"/>
      <c r="H18" s="2209"/>
      <c r="I18" s="2389" t="s">
        <v>303</v>
      </c>
      <c r="M18" s="83">
        <v>21</v>
      </c>
    </row>
    <row customHeight="1" ht="22.049999999999997">
      <c r="C19" s="96"/>
      <c r="D19" s="105" t="s">
        <v>88</v>
      </c>
      <c r="E19" s="108" t="s">
        <v>304</v>
      </c>
      <c r="F19" s="108"/>
      <c r="G19" s="108" t="s">
        <v>305</v>
      </c>
      <c r="H19" s="108" t="s">
        <v>392</v>
      </c>
      <c r="I19" s="2389"/>
      <c r="M19" s="83">
        <v>21</v>
      </c>
    </row>
    <row customHeight="1" ht="12" hidden="1">
      <c r="C20" s="96"/>
      <c r="D20" s="87"/>
      <c r="E20" s="87"/>
      <c r="F20" s="87"/>
      <c r="G20" s="87"/>
      <c r="H20" s="87"/>
      <c r="I20" s="87"/>
      <c r="M20" s="83">
        <v>0</v>
      </c>
    </row>
    <row customHeight="1" ht="14.699999999999998">
      <c r="A21" s="1683"/>
      <c r="C21" s="96"/>
      <c r="D21" s="147">
        <v>1</v>
      </c>
      <c r="E21" s="2461" t="s">
        <v>1135</v>
      </c>
      <c r="F21" s="2461"/>
      <c r="G21" s="2461"/>
      <c r="H21" s="2461"/>
      <c r="I21" s="208"/>
      <c r="M21" s="83">
        <v>14</v>
      </c>
    </row>
    <row customHeight="1" ht="21">
      <c r="A22" s="1683"/>
      <c r="C22" s="96"/>
      <c r="D22" s="147" t="s">
        <v>1025</v>
      </c>
      <c r="E22" s="194" t="s">
        <v>1136</v>
      </c>
      <c r="F22" s="198"/>
      <c r="G22" s="1737"/>
      <c r="H22" s="198" t="s">
        <v>308</v>
      </c>
      <c r="I22" s="151" t="s">
        <v>1137</v>
      </c>
      <c r="M22" s="83">
        <v>20</v>
      </c>
    </row>
    <row customHeight="1" ht="60">
      <c r="A23" s="1683"/>
      <c r="C23" s="96"/>
      <c r="D23" s="147" t="s">
        <v>1027</v>
      </c>
      <c r="E23" s="194" t="s">
        <v>1138</v>
      </c>
      <c r="F23" s="198"/>
      <c r="G23" s="257"/>
      <c r="H23" s="213"/>
      <c r="I23" s="258" t="s">
        <v>1139</v>
      </c>
      <c r="M23" s="83">
        <v>57</v>
      </c>
    </row>
    <row customHeight="1" ht="14.699999999999998">
      <c r="A24" s="1683"/>
      <c r="B24" s="146">
        <v>3</v>
      </c>
      <c r="C24" s="96"/>
      <c r="D24" s="147">
        <v>2</v>
      </c>
      <c r="E24" s="222" t="str">
        <f>"Форма заявки на заключение договора о подключении (технологическом присоединении) к системе "&amp;TEMPLATE_SPHERE_RUS</f>
        <v>Форма заявки на заключение договора о подключении (технологическом присоединении) к системе теплоснабжения</v>
      </c>
      <c r="F24" s="198"/>
      <c r="G24" s="198" t="s">
        <v>308</v>
      </c>
      <c r="H24" s="213"/>
      <c r="I24" s="259" t="s">
        <v>634</v>
      </c>
      <c r="M24" s="83">
        <v>14</v>
      </c>
    </row>
    <row customHeight="1" ht="48.29999999999999">
      <c r="A25" s="1683"/>
      <c r="C25" s="96"/>
      <c r="D25" s="147">
        <v>3</v>
      </c>
      <c r="E25" s="2460" t="str">
        <f>"Перечень документов и сведений, представляемых одновременно "&amp;IF(TEMPLATE_SPHERE="HEAT","с заявкой на заключение","с заявлением о заключении")&amp;" договора о подключении (технологическом присоединении) к системе "&amp;TEMPLATE_SPHERE_RUS&amp;IF(TEMPLATE_SPHERE="HEAT","",", и указание на запрет требовать представления документов и сведений или осуществления действий, не предусмотренных законодательством Российской Федерации"&amp;" о градостроительной деятельности и законодательством Российской Федерации в сфере водоснабжения и водоотведения")</f>
        <v>Перечень документов и сведений, представляемых одновременно с заявкой на заключение договора о подключении (технологическом присоединении) к системе теплоснабжения</v>
      </c>
      <c r="F25" s="2460"/>
      <c r="G25" s="2460"/>
      <c r="H25" s="2460"/>
      <c r="I25" s="256"/>
      <c r="M25" s="83">
        <v>46</v>
      </c>
    </row>
    <row customHeight="1" ht="14.699999999999998">
      <c r="A26" s="1683"/>
      <c r="C26" s="96"/>
      <c r="D26" s="147" t="s">
        <v>326</v>
      </c>
      <c r="E26" s="199"/>
      <c r="F26" s="198"/>
      <c r="G26" s="198" t="s">
        <v>308</v>
      </c>
      <c r="H26" s="213"/>
      <c r="I26" s="2169" t="s">
        <v>1140</v>
      </c>
      <c r="M26" s="83">
        <v>14</v>
      </c>
    </row>
    <row customHeight="1" ht="15.75">
      <c r="A27" s="1683" t="s">
        <v>109</v>
      </c>
      <c r="C27" s="96"/>
      <c r="D27" s="109"/>
      <c r="E27" s="203" t="s">
        <v>324</v>
      </c>
      <c r="F27" s="204"/>
      <c r="G27" s="204"/>
      <c r="H27" s="201"/>
      <c r="I27" s="2171"/>
      <c r="M27" s="83">
        <v>15</v>
      </c>
    </row>
    <row customHeight="1" ht="39.75">
      <c r="A28" s="1683"/>
      <c r="B28" s="146">
        <v>3</v>
      </c>
      <c r="C28" s="96"/>
      <c r="D28" s="147">
        <v>4</v>
      </c>
      <c r="E28" s="2460" t="str">
        <f>"Реквизиты нормативных правовых актов, регламентирующих порядок действий заявителя и "&amp;IF(TEMPLATE_SPHERE="HEAT","регулируемой ","")&amp;"организации"&amp;IF(TEMPLATE_SPHERE="HEAT",""," "&amp;TEMPLATE_SPHERE_RUS)&amp;" при подаче, приеме, обработке "&amp;IF(TEMPLATE_SPHERE="HEAT","заявки на заключение","заявления о заключении")&amp;" договора о подключении (технологическом присоединении) к системе "&amp;TEMPLATE_SPHERE_RUS&amp;IF(TEMPLATE_SPHERE="HEAT",""," (в том числе в форме электронного документа)")</f>
        <v>Реквизиты нормативных правовых актов, регламентирующих порядок действий заявителя и регулируемой организации при подаче, приеме, обработке заявки на заключение договора о подключении (технологическом присоединении) к системе теплоснабжения</v>
      </c>
      <c r="F28" s="2460"/>
      <c r="G28" s="2460"/>
      <c r="H28" s="2460"/>
      <c r="I28" s="256"/>
      <c r="M28" s="83">
        <v>38</v>
      </c>
    </row>
    <row customHeight="1" ht="21">
      <c r="A29" s="1683"/>
      <c r="C29" s="96"/>
      <c r="D29" s="147" t="s">
        <v>756</v>
      </c>
      <c r="E29" s="205" t="s">
        <v>1130</v>
      </c>
      <c r="F29" s="198"/>
      <c r="G29" s="257"/>
      <c r="H29" s="198" t="s">
        <v>308</v>
      </c>
      <c r="I29" s="2169" t="s">
        <v>1141</v>
      </c>
      <c r="M29" s="83">
        <v>20</v>
      </c>
    </row>
    <row customHeight="1" ht="15.75">
      <c r="A30" s="1683" t="s">
        <v>110</v>
      </c>
      <c r="C30" s="96"/>
      <c r="D30" s="109"/>
      <c r="E30" s="203" t="s">
        <v>324</v>
      </c>
      <c r="F30" s="204"/>
      <c r="G30" s="204"/>
      <c r="H30" s="201"/>
      <c r="I30" s="2171"/>
      <c r="M30" s="83">
        <v>15</v>
      </c>
    </row>
    <row customHeight="1" ht="31.5">
      <c r="A31" s="1683"/>
      <c r="B31" s="146">
        <v>3</v>
      </c>
      <c r="C31" s="96"/>
      <c r="D31" s="147">
        <v>5</v>
      </c>
      <c r="E31" s="2460" t="str">
        <f>"Телефоны, адреса и график работы службы, ответственной за прием и обработку заявок на заключение договора о подключении (технологическом присоединении) к системе "&amp;TEMPLATE_SPHERE_RUS</f>
        <v>Телефоны, адреса и график работы службы, ответственной за прием и обработку заявок на заключение договора о подключении (технологическом присоединении) к системе теплоснабжения</v>
      </c>
      <c r="F31" s="2460"/>
      <c r="G31" s="2460"/>
      <c r="H31" s="2460"/>
      <c r="I31" s="256"/>
      <c r="M31" s="83">
        <v>30</v>
      </c>
    </row>
    <row customHeight="1" ht="27.299999999999997">
      <c r="A32" s="1683"/>
      <c r="C32" s="96"/>
      <c r="D32" s="147" t="s">
        <v>315</v>
      </c>
      <c r="E32" s="2403" t="str">
        <f>"телефоны службы, ответственной за прием и обработку заявок на заключение договора о подключении (технологическом присоединении) к системе "&amp;TEMPLATE_SPHERE_RUS</f>
        <v>телефоны службы, ответственной за прием и обработку заявок на заключение договора о подключении (технологическом присоединении) к системе теплоснабжения</v>
      </c>
      <c r="F32" s="2403"/>
      <c r="G32" s="2403"/>
      <c r="H32" s="2403"/>
      <c r="I32" s="256"/>
      <c r="M32" s="83">
        <v>26</v>
      </c>
    </row>
    <row customHeight="1" ht="14.699999999999998">
      <c r="A33" s="1683"/>
      <c r="C33" s="96"/>
      <c r="D33" s="147" t="s">
        <v>1142</v>
      </c>
      <c r="E33" s="206" t="s">
        <v>1131</v>
      </c>
      <c r="F33" s="198"/>
      <c r="G33" s="257"/>
      <c r="H33" s="198" t="s">
        <v>308</v>
      </c>
      <c r="I33" s="2169" t="s">
        <v>1143</v>
      </c>
      <c r="M33" s="83">
        <v>14</v>
      </c>
    </row>
    <row customHeight="1" ht="15.75">
      <c r="A34" s="1683" t="s">
        <v>90</v>
      </c>
      <c r="C34" s="96"/>
      <c r="D34" s="109"/>
      <c r="E34" s="204" t="s">
        <v>324</v>
      </c>
      <c r="F34" s="200"/>
      <c r="G34" s="200"/>
      <c r="H34" s="201"/>
      <c r="I34" s="2171"/>
      <c r="M34" s="83">
        <v>15</v>
      </c>
    </row>
    <row customHeight="1" ht="25.2">
      <c r="A35" s="1683"/>
      <c r="C35" s="96"/>
      <c r="D35" s="147" t="s">
        <v>884</v>
      </c>
      <c r="E35" s="2403" t="str">
        <f>"адреса службы, ответственной за прием и обработку заявок на заключение договора о подключении (технологическом присоединении) к системе "&amp;TEMPLATE_SPHERE_RUS</f>
        <v>адреса службы, ответственной за прием и обработку заявок на заключение договора о подключении (технологическом присоединении) к системе теплоснабжения</v>
      </c>
      <c r="F35" s="2403"/>
      <c r="G35" s="2403"/>
      <c r="H35" s="2403"/>
      <c r="I35" s="256"/>
      <c r="M35" s="83">
        <v>24</v>
      </c>
    </row>
    <row customHeight="1" ht="14.699999999999998">
      <c r="A36" s="1683"/>
      <c r="C36" s="96"/>
      <c r="D36" s="147" t="s">
        <v>1144</v>
      </c>
      <c r="E36" s="206" t="s">
        <v>1132</v>
      </c>
      <c r="F36" s="198"/>
      <c r="G36" s="257"/>
      <c r="H36" s="198" t="s">
        <v>308</v>
      </c>
      <c r="I36" s="2143" t="s">
        <v>1145</v>
      </c>
      <c r="M36" s="83">
        <v>14</v>
      </c>
    </row>
    <row customHeight="1" ht="15.75">
      <c r="A37" s="1683" t="s">
        <v>91</v>
      </c>
      <c r="C37" s="96"/>
      <c r="D37" s="109"/>
      <c r="E37" s="204" t="s">
        <v>324</v>
      </c>
      <c r="F37" s="200"/>
      <c r="G37" s="200"/>
      <c r="H37" s="201"/>
      <c r="I37" s="2143"/>
      <c r="M37" s="83">
        <v>15</v>
      </c>
    </row>
    <row customHeight="1" ht="27.299999999999997">
      <c r="A38" s="1683"/>
      <c r="C38" s="96"/>
      <c r="D38" s="147" t="s">
        <v>885</v>
      </c>
      <c r="E38" s="2403" t="str">
        <f>"график работы службы, ответственной за прием и обработку заявок на заключение договора о подключении (технологическом присоединении) к системе "&amp;TEMPLATE_SPHERE_RUS</f>
        <v>график работы службы, ответственной за прием и обработку заявок на заключение договора о подключении (технологическом присоединении) к системе теплоснабжения</v>
      </c>
      <c r="F38" s="2403"/>
      <c r="G38" s="2403"/>
      <c r="H38" s="2403"/>
      <c r="I38" s="256"/>
      <c r="M38" s="83">
        <v>26</v>
      </c>
    </row>
    <row customHeight="1" ht="14.699999999999998">
      <c r="A39" s="1683"/>
      <c r="C39" s="96"/>
      <c r="D39" s="147" t="s">
        <v>886</v>
      </c>
      <c r="E39" s="206" t="s">
        <v>1133</v>
      </c>
      <c r="F39" s="198"/>
      <c r="G39" s="207"/>
      <c r="H39" s="198" t="s">
        <v>308</v>
      </c>
      <c r="I39" s="2169" t="s">
        <v>1146</v>
      </c>
      <c r="L39" s="155" t="s">
        <v>1134</v>
      </c>
      <c r="M39" s="83">
        <v>14</v>
      </c>
    </row>
    <row customHeight="1" ht="15.75">
      <c r="A40" s="1683" t="s">
        <v>111</v>
      </c>
      <c r="C40" s="96"/>
      <c r="D40" s="109"/>
      <c r="E40" s="204" t="s">
        <v>324</v>
      </c>
      <c r="F40" s="200"/>
      <c r="G40" s="200"/>
      <c r="H40" s="201"/>
      <c r="I40" s="2171"/>
      <c r="M40" s="83">
        <v>15</v>
      </c>
    </row>
    <row s="1823" customFormat="1" customHeight="1" ht="3">
      <c r="A41" s="1683"/>
      <c r="K41" s="196"/>
      <c r="L41" s="196"/>
      <c r="M41" s="140">
        <v>3</v>
      </c>
    </row>
    <row customHeight="1" ht="26.25">
      <c r="D42" s="1681" t="s">
        <v>806</v>
      </c>
      <c r="E42" s="2285" t="str">
        <f>"Информация размещается в случае, если организация осуществляет услуги по подключению (технологическому присоединению) к системе "&amp;TEMPLATE_SPHERE_RUS&amp;"."</f>
        <v>Информация размещается в случае, если организация осуществляет услуги по подключению (технологическому присоединению) к системе теплоснабжения.</v>
      </c>
      <c r="F42" s="2285"/>
      <c r="G42" s="2285"/>
      <c r="H42" s="2285"/>
      <c r="I42" s="2285"/>
      <c r="M42" s="83">
        <v>25</v>
      </c>
    </row>
    <row customHeight="1" ht="22.5" hidden="1">
      <c r="A43" s="1362" t="s">
        <v>82</v>
      </c>
      <c r="B43" s="146">
        <v>0</v>
      </c>
      <c r="C43" s="97">
        <v>3</v>
      </c>
      <c r="D43" s="83">
        <v>6</v>
      </c>
      <c r="E43" s="83">
        <v>63</v>
      </c>
      <c r="F43" s="83">
        <v>0</v>
      </c>
      <c r="G43" s="83">
        <v>35</v>
      </c>
      <c r="H43" s="83">
        <v>35</v>
      </c>
      <c r="I43" s="83">
        <v>91</v>
      </c>
      <c r="J43" s="83">
        <v>68</v>
      </c>
      <c r="K43" s="155">
        <v>10</v>
      </c>
      <c r="L43" s="155">
        <v>10</v>
      </c>
      <c r="M43" s="83">
        <v>23</v>
      </c>
    </row>
  </sheetData>
  <sheetProtection formatColumns="0" formatRows="0" autoFilter="0" sort="0" insertRows="0" insertColumns="1" deleteRows="0" deleteColumns="0"/>
  <mergeCells count="17">
    <mergeCell ref="I29:I30"/>
    <mergeCell ref="E31:H31"/>
    <mergeCell ref="D14:H14"/>
    <mergeCell ref="D18:H18"/>
    <mergeCell ref="I18:I19"/>
    <mergeCell ref="E21:H21"/>
    <mergeCell ref="E25:H25"/>
    <mergeCell ref="I26:I27"/>
    <mergeCell ref="E28:H28"/>
    <mergeCell ref="D15:H15"/>
    <mergeCell ref="E42:I42"/>
    <mergeCell ref="E32:H32"/>
    <mergeCell ref="E35:H35"/>
    <mergeCell ref="E38:H38"/>
    <mergeCell ref="I33:I34"/>
    <mergeCell ref="I36:I37"/>
    <mergeCell ref="I39:I40"/>
  </mergeCells>
  <dataValidations count="4">
    <dataValidation type="textLength" operator="lessThanOrEqual" allowBlank="1" showInputMessage="1" showErrorMessage="1" errorTitle="Ошибка" error="Допускается ввод не более 900 символов!" sqref="I23:I24 I33 G36 I39 I26 E29 G33 E36 I29 E33 I36 G23 E26 I10 E23 G29 E10 G8 E2 I2 I4 G4 E4 E6 I6 G6 E8 I8 E39">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26 H23:H24 H2">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G10 G39">
      <formula1>"a"</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22"/>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drawing r:id="rId1"/>
</worksheet>
</file>

<file path=xl/worksheets/sheet4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027370A-A772-1826-522B-BAEF9EFA3F8F}" mc:Ignorable="x14ac xr xr2 xr3">
  <sheetPr>
    <tabColor theme="6" tint="0.4"/>
  </sheetPr>
  <dimension ref="A1:AH332"/>
  <sheetViews>
    <sheetView showGridLines="0" zoomScale="90" workbookViewId="0">
      <pane xSplit="7" ySplit="21" topLeftCell="H22" activePane="bottomRight" state="frozen"/>
      <selection pane="bottomLeft" activeCell="A22" sqref="A22"/>
      <selection pane="topRight" activeCell="H1" sqref="H1"/>
      <selection pane="bottomRight" activeCell="A1" sqref="A1"/>
    </sheetView>
  </sheetViews>
  <sheetFormatPr defaultColWidth="10.57421875" customHeight="1" defaultRowHeight="14.25"/>
  <cols>
    <col min="1" max="2" style="1779" width="25.140625" hidden="1" customWidth="1"/>
    <col min="3" max="3" style="1687" width="9.140625" hidden="1" customWidth="1"/>
    <col min="4" max="4" style="344" width="3.00390625" customWidth="1"/>
    <col min="5" max="5" style="1635" width="6.00390625" customWidth="1"/>
    <col min="6" max="6" style="1635" width="46.7109375" customWidth="1"/>
    <col min="7" max="7" style="1635" width="35.00390625" customWidth="1"/>
    <col min="8" max="8" style="1635" width="3.00390625" customWidth="1"/>
    <col min="9" max="10" style="1635" width="11.00390625" customWidth="1"/>
    <col min="11" max="12" style="1635" width="35.00390625" customWidth="1"/>
    <col min="13" max="13" style="1635" width="84.00390625" customWidth="1"/>
    <col min="14" max="14" style="1635" width="10.00390625" customWidth="1"/>
    <col min="15" max="16" style="1624" width="10.00390625" customWidth="1"/>
    <col min="17" max="33" style="1635" width="10.00390625" customWidth="1"/>
    <col min="34" max="34" style="1635" width="10.57421875" hidden="1"/>
  </cols>
  <sheetData>
    <row s="1635" customFormat="1" customHeight="1" ht="22.5" hidden="1">
      <c r="A1" s="1779"/>
      <c r="B1" s="1779"/>
      <c r="C1" s="369"/>
      <c r="D1" s="344"/>
      <c r="N1" s="1636">
        <f>_xlfn.IFERROR(MATCH("метод экономически обоснованных расходов (затрат)",OFFER_METHOD,0),0)</f>
        <v>0</v>
      </c>
      <c r="O1" s="1624"/>
      <c r="P1" s="1624"/>
      <c r="T1" s="831"/>
      <c r="AG1" s="255"/>
      <c r="AH1" s="1631" t="s">
        <v>14</v>
      </c>
    </row>
    <row s="1635" customFormat="1" customHeight="1" ht="18.75" hidden="1">
      <c r="A2" s="1780" t="s">
        <v>159</v>
      </c>
      <c r="B2" s="1780" t="s">
        <v>160</v>
      </c>
      <c r="C2" s="369"/>
      <c r="D2" s="344"/>
      <c r="E2" s="1031"/>
      <c r="F2" s="1031"/>
      <c r="G2" s="2427" t="str">
        <f>INDEX(PT_DIFFERENTIATION_NTAR,MATCH(B2,PT_DIFFERENTIATION_NTAR_ID,0))</f>
        <v/>
      </c>
      <c r="H2" s="1864"/>
      <c r="I2" s="1739"/>
      <c r="J2" s="1773"/>
      <c r="K2" s="1865"/>
      <c r="L2" s="1864" t="s">
        <v>308</v>
      </c>
      <c r="M2" s="1875"/>
      <c r="N2" s="334"/>
      <c r="O2" s="1624"/>
      <c r="P2" s="1624"/>
      <c r="AH2" s="1631">
        <v>0</v>
      </c>
    </row>
    <row s="1635" customFormat="1" customHeight="1" ht="18.75" hidden="1">
      <c r="A3" s="1780"/>
      <c r="B3" s="1780"/>
      <c r="C3" s="369" t="s">
        <v>1147</v>
      </c>
      <c r="D3" s="344"/>
      <c r="E3" s="1031"/>
      <c r="F3" s="1031"/>
      <c r="G3" s="2427"/>
      <c r="H3" s="1500"/>
      <c r="I3" s="651" t="s">
        <v>1148</v>
      </c>
      <c r="J3" s="571"/>
      <c r="K3" s="1500"/>
      <c r="L3" s="214"/>
      <c r="M3" s="1875"/>
      <c r="N3" s="334"/>
      <c r="O3" s="1624"/>
      <c r="P3" s="1624"/>
      <c r="AH3" s="1631">
        <v>0</v>
      </c>
    </row>
    <row s="1635" customFormat="1" customHeight="1" ht="14.25" hidden="1">
      <c r="A4" s="1779"/>
      <c r="B4" s="1779"/>
      <c r="C4" s="369"/>
      <c r="D4" s="344"/>
      <c r="N4" s="1636">
        <f>_xlfn.IFERROR(MATCH("метод экономически обоснованных расходов (затрат)",OFFER_METHOD,0),0)</f>
        <v>0</v>
      </c>
      <c r="O4" s="1624"/>
      <c r="P4" s="1624"/>
      <c r="T4" s="831"/>
      <c r="AG4" s="255"/>
      <c r="AH4" s="1631">
        <v>0</v>
      </c>
    </row>
    <row s="1635" customFormat="1" customHeight="1" ht="18.75" hidden="1">
      <c r="A5" s="1780" t="s">
        <v>159</v>
      </c>
      <c r="B5" s="1780" t="s">
        <v>160</v>
      </c>
      <c r="C5" s="369"/>
      <c r="D5" s="344"/>
      <c r="E5" s="1031"/>
      <c r="F5" s="1031"/>
      <c r="G5" s="2427" t="str">
        <f>INDEX(PT_DIFFERENTIATION_NTAR,MATCH(B5,PT_DIFFERENTIATION_NTAR_ID,0))</f>
        <v/>
      </c>
      <c r="H5" s="1864"/>
      <c r="I5" s="1739"/>
      <c r="J5" s="1773"/>
      <c r="K5" s="1778"/>
      <c r="L5" s="1864" t="s">
        <v>308</v>
      </c>
      <c r="M5" s="1875"/>
      <c r="N5" s="334"/>
      <c r="O5" s="1624"/>
      <c r="P5" s="1624"/>
      <c r="AH5" s="1631">
        <v>0</v>
      </c>
    </row>
    <row s="1635" customFormat="1" customHeight="1" ht="18.75" hidden="1">
      <c r="A6" s="1780"/>
      <c r="B6" s="1780"/>
      <c r="C6" s="369" t="s">
        <v>1149</v>
      </c>
      <c r="D6" s="344"/>
      <c r="E6" s="1031"/>
      <c r="F6" s="1031"/>
      <c r="G6" s="2427"/>
      <c r="H6" s="1500"/>
      <c r="I6" s="651" t="s">
        <v>1148</v>
      </c>
      <c r="J6" s="571"/>
      <c r="K6" s="1500"/>
      <c r="L6" s="214"/>
      <c r="M6" s="1875"/>
      <c r="N6" s="334"/>
      <c r="O6" s="1624"/>
      <c r="P6" s="1624"/>
      <c r="AH6" s="1631">
        <v>0</v>
      </c>
    </row>
    <row s="1635" customFormat="1" customHeight="1" ht="14.25" hidden="1">
      <c r="A7" s="1779"/>
      <c r="B7" s="1779"/>
      <c r="C7" s="369"/>
      <c r="D7" s="344"/>
      <c r="N7" s="1636">
        <f>_xlfn.IFERROR(MATCH("метод экономически обоснованных расходов (затрат)",OFFER_METHOD,0),0)</f>
        <v>0</v>
      </c>
      <c r="O7" s="1624"/>
      <c r="P7" s="1624"/>
      <c r="T7" s="831"/>
      <c r="AG7" s="255"/>
      <c r="AH7" s="1631">
        <v>0</v>
      </c>
    </row>
    <row s="1635" customFormat="1" customHeight="1" ht="56.25" hidden="1">
      <c r="A8" s="1780"/>
      <c r="B8" s="1780"/>
      <c r="C8" s="369"/>
      <c r="D8" s="344"/>
      <c r="E8" s="1031"/>
      <c r="F8" s="1031"/>
      <c r="G8" s="1031"/>
      <c r="H8" s="1771"/>
      <c r="I8" s="1739"/>
      <c r="J8" s="1773"/>
      <c r="K8" s="1865"/>
      <c r="L8" s="1771" t="s">
        <v>308</v>
      </c>
      <c r="M8" s="1875"/>
      <c r="N8" s="334"/>
      <c r="O8" s="1624"/>
      <c r="P8" s="1624"/>
      <c r="AH8" s="1631">
        <v>0</v>
      </c>
    </row>
    <row customHeight="1" ht="14.25" hidden="1">
      <c r="T9" s="397"/>
      <c r="AG9" s="255"/>
      <c r="AH9" s="374">
        <v>0</v>
      </c>
    </row>
    <row s="1635" customFormat="1" customHeight="1" ht="56.25" hidden="1">
      <c r="A10" s="1780"/>
      <c r="B10" s="1780"/>
      <c r="C10" s="369"/>
      <c r="D10" s="344"/>
      <c r="E10" s="1031"/>
      <c r="F10" s="1031"/>
      <c r="G10" s="1031"/>
      <c r="H10" s="1770"/>
      <c r="I10" s="1739"/>
      <c r="J10" s="1773"/>
      <c r="K10" s="1778"/>
      <c r="L10" s="1771" t="s">
        <v>308</v>
      </c>
      <c r="M10" s="1875"/>
      <c r="N10" s="334"/>
      <c r="O10" s="1624"/>
      <c r="P10" s="1624"/>
      <c r="AH10" s="1631">
        <v>0</v>
      </c>
    </row>
    <row customHeight="1" ht="14.25" hidden="1">
      <c r="AH11" s="374">
        <v>0</v>
      </c>
    </row>
    <row customHeight="1" ht="14.25" hidden="1">
      <c r="AH12" s="374">
        <v>0</v>
      </c>
    </row>
    <row customHeight="1" ht="6.3">
      <c r="D13" s="376"/>
      <c r="E13" s="363"/>
      <c r="F13" s="363"/>
      <c r="G13" s="363"/>
      <c r="H13" s="363"/>
      <c r="I13" s="363"/>
      <c r="J13" s="363"/>
      <c r="K13" s="363"/>
      <c r="L13" s="85"/>
      <c r="M13" s="85"/>
      <c r="AH13" s="374">
        <v>6</v>
      </c>
    </row>
    <row customHeight="1" ht="14.699999999999998">
      <c r="D14" s="376"/>
      <c r="E14" s="2465" t="str">
        <f>"Форма "&amp;IF(TEMPLATE_SPHERE="HEAT","18","12")&amp;". Информация о предложении "&amp;IF(TEMPLATE_SPHERE="HEAT","регулируемой организации","организации "&amp;TEMPLATE_SPHERE_RUS)&amp;" об установлении "&amp;IF(TEMPLATE_SPHERE="HEAT","цен (тарифов)","тарифов")&amp;" в сфере "&amp;TEMPLATE_SPHERE_RUS&amp;" на очередной"&amp;IF(TEMPLATE_SPHERE="HEAT"," расчетный","")&amp;" период регулирования"</f>
        <v>Форма 18. Информация о предложении регулируемой организации об установлении цен (тарифов) в сфере теплоснабжения на очередной расчетный период регулирования</v>
      </c>
      <c r="F14" s="2465"/>
      <c r="G14" s="2465"/>
      <c r="H14" s="2465"/>
      <c r="I14" s="2465"/>
      <c r="J14" s="2465"/>
      <c r="K14" s="2465"/>
      <c r="L14" s="2465"/>
      <c r="M14" s="220"/>
      <c r="AH14" s="374">
        <v>14</v>
      </c>
    </row>
    <row customHeight="1" ht="6.3">
      <c r="D15" s="376"/>
      <c r="E15" s="363"/>
      <c r="F15" s="389"/>
      <c r="G15" s="389"/>
      <c r="H15" s="389"/>
      <c r="I15" s="389"/>
      <c r="J15" s="389"/>
      <c r="K15" s="389"/>
      <c r="L15" s="322"/>
      <c r="M15" s="193"/>
      <c r="AH15" s="374">
        <v>6</v>
      </c>
    </row>
    <row customHeight="1" ht="24">
      <c r="D16" s="376"/>
      <c r="E16" s="363"/>
      <c r="F16" s="305" t="str">
        <f>"Дата подачи заявления об "&amp;IF(TITLE_DATE_PR_CHANGE="","утверждении","изменении")&amp;" тарифов"</f>
        <v>Дата подачи заявления об утверждении тарифов</v>
      </c>
      <c r="G16" s="2264" t="str">
        <f>IF(TITLE_DATE_PR_CHANGE="",IF(TITLE_DATE_PR="","",TITLE_DATE_PR),TITLE_DATE_PR_CHANGE)</f>
        <v/>
      </c>
      <c r="H16" s="2264"/>
      <c r="I16" s="2264"/>
      <c r="J16" s="2264"/>
      <c r="K16" s="2264"/>
      <c r="L16" s="2264"/>
      <c r="M16" s="398"/>
      <c r="N16" s="326"/>
      <c r="AH16" s="374">
        <v>23</v>
      </c>
    </row>
    <row customHeight="1" ht="24">
      <c r="D17" s="376"/>
      <c r="E17" s="363"/>
      <c r="F17" s="305" t="str">
        <f>"Номер подачи заявления об "&amp;IF(TITLE_DATE_PR_CHANGE="","утверждении","изменении")&amp;" тарифов"</f>
        <v>Номер подачи заявления об утверждении тарифов</v>
      </c>
      <c r="G17" s="2251" t="str">
        <f>IF(TITLE_NUMBER_PR_CHANGE="",IF(TITLE_NUMBER_PR="","",TITLE_NUMBER_PR),TITLE_NUMBER_PR_CHANGE)</f>
        <v/>
      </c>
      <c r="H17" s="2251"/>
      <c r="I17" s="2251"/>
      <c r="J17" s="2251"/>
      <c r="K17" s="2251"/>
      <c r="L17" s="2251"/>
      <c r="M17" s="398"/>
      <c r="N17" s="326"/>
      <c r="AH17" s="374">
        <v>23</v>
      </c>
    </row>
    <row customHeight="1" ht="14.699999999999998">
      <c r="D18" s="376"/>
      <c r="E18" s="363"/>
      <c r="F18" s="389"/>
      <c r="G18" s="389"/>
      <c r="H18" s="389"/>
      <c r="I18" s="389"/>
      <c r="J18" s="389"/>
      <c r="K18" s="389"/>
      <c r="L18" s="752"/>
      <c r="M18" s="193"/>
      <c r="AH18" s="374">
        <v>14</v>
      </c>
    </row>
    <row customHeight="1" ht="22.049999999999997">
      <c r="D19" s="376"/>
      <c r="E19" s="2209" t="s">
        <v>302</v>
      </c>
      <c r="F19" s="2209"/>
      <c r="G19" s="2209"/>
      <c r="H19" s="2209"/>
      <c r="I19" s="2209"/>
      <c r="J19" s="2209"/>
      <c r="K19" s="2209"/>
      <c r="L19" s="2209"/>
      <c r="M19" s="2389" t="s">
        <v>303</v>
      </c>
      <c r="AH19" s="374">
        <v>21</v>
      </c>
    </row>
    <row customHeight="1" ht="22.049999999999997">
      <c r="D20" s="376"/>
      <c r="E20" s="2277" t="s">
        <v>88</v>
      </c>
      <c r="F20" s="2224" t="s">
        <v>126</v>
      </c>
      <c r="G20" s="2224" t="s">
        <v>127</v>
      </c>
      <c r="H20" s="2386" t="s">
        <v>1150</v>
      </c>
      <c r="I20" s="2387"/>
      <c r="J20" s="2433"/>
      <c r="K20" s="2224" t="s">
        <v>305</v>
      </c>
      <c r="L20" s="2224" t="s">
        <v>392</v>
      </c>
      <c r="M20" s="2389"/>
      <c r="AH20" s="374">
        <v>21</v>
      </c>
    </row>
    <row customHeight="1" ht="22.049999999999997">
      <c r="D21" s="376"/>
      <c r="E21" s="2279"/>
      <c r="F21" s="2225"/>
      <c r="G21" s="2225"/>
      <c r="H21" s="2218" t="s">
        <v>1151</v>
      </c>
      <c r="I21" s="2220"/>
      <c r="J21" s="108" t="s">
        <v>1152</v>
      </c>
      <c r="K21" s="2225"/>
      <c r="L21" s="2225"/>
      <c r="M21" s="2389"/>
      <c r="AH21" s="374">
        <v>21</v>
      </c>
    </row>
    <row customHeight="1" ht="12.75">
      <c r="D22" s="376"/>
      <c r="E22" s="281"/>
      <c r="F22" s="281"/>
      <c r="G22" s="281"/>
      <c r="H22" s="2467"/>
      <c r="I22" s="2467"/>
      <c r="J22" s="281"/>
      <c r="K22" s="281"/>
      <c r="L22" s="281"/>
      <c r="M22" s="281"/>
      <c r="AH22" s="374">
        <v>12</v>
      </c>
    </row>
    <row customHeight="1" ht="19.95">
      <c r="A23" s="1780"/>
      <c r="B23" s="1780"/>
      <c r="D23" s="376"/>
      <c r="E23" s="1866" t="s">
        <v>109</v>
      </c>
      <c r="F23" s="2468" t="str">
        <f>"Предлагаемый метод регулирования"&amp;IF(TEMPLATE_SPHERE="HEAT"," в сфере "&amp;TEMPLATE_SPHERE_RUS,"")</f>
        <v>Предлагаемый метод регулирования в сфере теплоснабжения</v>
      </c>
      <c r="G23" s="2469"/>
      <c r="H23" s="2461"/>
      <c r="I23" s="2461"/>
      <c r="J23" s="2461"/>
      <c r="K23" s="2469" t="s">
        <v>308</v>
      </c>
      <c r="L23" s="2461"/>
      <c r="M23" s="1769"/>
      <c r="N23" s="334"/>
      <c r="AH23" s="374">
        <v>19</v>
      </c>
    </row>
    <row customHeight="1" ht="60.75" hidden="1">
      <c r="A24" s="1780" t="s">
        <v>159</v>
      </c>
      <c r="B24" s="1780" t="s">
        <v>160</v>
      </c>
      <c r="D24" s="2466"/>
      <c r="E24" s="2204"/>
      <c r="F24" s="2470" t="str">
        <f>INDEX(PT_DIFFERENTIATION_VTAR,MATCH(A24,PT_DIFFERENTIATION_VTAR_ID,0))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24" s="2427" t="str">
        <f>INDEX(PT_DIFFERENTIATION_NTAR,MATCH(B24,PT_DIFFERENTIATION_NTAR_ID,0))</f>
        <v/>
      </c>
      <c r="H24" s="1862"/>
      <c r="I24" s="1739"/>
      <c r="J24" s="1773"/>
      <c r="K24" s="1865"/>
      <c r="L24" s="1768" t="s">
        <v>308</v>
      </c>
      <c r="M24" s="2169"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"&amp;"Значение в колонке «Информация» выбирается из перечня:
- метод экономически обоснованных расходов (затрат);
- метод индексации установленных тарифов;
- метод обеспечения доходности инвестированного капитала;
- метод сравнения аналогов.
"&amp;"Даты начала и окончания срока действия тарифов указываются в виде «ДД.ММ.ГГГГ».
В случае дифференциации предлагаемых методов регулирования по видам тарифов и (или) по периодам действия тарифов информация по каждому из них указывается в отдельной строке."</f>
        <v>Значение в колонке «Вид тарифа» выбирается из перечня видов тарифов в сфере теплоснабжения, предусмотренных законодательством в сфере теплоснабжения.
Значение в колонке «Информация» выбирается из перечня:
- метод экономически обоснованных расходов (затрат);
- метод индексации установленных тарифов;
- метод обеспечения доходности инвестированного капитала;
- метод сравнения аналогов.
Даты начала и окончания срока действия тарифов указываются в виде «ДД.ММ.ГГГГ».
В случае дифференциации предлагаемых методов регулирования по видам тарифов и (или) по периодам действия тарифов информация по каждому из них указывается в отдельной строке.</v>
      </c>
      <c r="N24" s="334"/>
      <c r="AH24" s="374">
        <v>0</v>
      </c>
    </row>
    <row s="1635" customFormat="1" customHeight="1" ht="18.75" hidden="1">
      <c r="A25" s="1780"/>
      <c r="B25" s="1780"/>
      <c r="C25" s="369" t="s">
        <v>1147</v>
      </c>
      <c r="D25" s="2466"/>
      <c r="E25" s="2204"/>
      <c r="F25" s="2470"/>
      <c r="G25" s="2427"/>
      <c r="H25" s="1500"/>
      <c r="I25" s="651" t="s">
        <v>1148</v>
      </c>
      <c r="J25" s="571"/>
      <c r="K25" s="1500"/>
      <c r="L25" s="214"/>
      <c r="M25" s="2170"/>
      <c r="N25" s="334"/>
      <c r="O25" s="1624"/>
      <c r="P25" s="1624"/>
      <c r="AH25" s="1631">
        <v>0</v>
      </c>
    </row>
    <row customHeight="1" ht="0.75" hidden="1">
      <c r="A26" s="1780"/>
      <c r="B26" s="1780"/>
      <c r="C26" s="369" t="s">
        <v>1153</v>
      </c>
      <c r="D26" s="2466"/>
      <c r="E26" s="2204"/>
      <c r="F26" s="2383"/>
      <c r="G26" s="400"/>
      <c r="H26" s="1500"/>
      <c r="I26" s="395"/>
      <c r="J26" s="349"/>
      <c r="K26" s="1500"/>
      <c r="L26" s="201"/>
      <c r="M26" s="2170"/>
      <c r="N26" s="334"/>
      <c r="AH26" s="374">
        <v>0</v>
      </c>
    </row>
    <row s="1635" customFormat="1" customHeight="1" ht="45" hidden="1">
      <c r="A27" s="1780" t="s">
        <v>164</v>
      </c>
      <c r="B27" s="1780" t="s">
        <v>165</v>
      </c>
      <c r="C27" s="369"/>
      <c r="D27" s="2462"/>
      <c r="E27" s="2463"/>
      <c r="F27" s="2464" t="str">
        <f>INDEX(PT_DIFFERENTIATION_VTAR,MATCH(A27,PT_DIFFERENTIATION_VTAR_ID,0))</f>
        <v/>
      </c>
      <c r="G27" s="2427" t="str">
        <f>INDEX(PT_DIFFERENTIATION_NTAR,MATCH(B27,PT_DIFFERENTIATION_NTAR_ID,0))</f>
        <v/>
      </c>
      <c r="H27" s="1862"/>
      <c r="I27" s="1739"/>
      <c r="J27" s="1773"/>
      <c r="K27" s="1865"/>
      <c r="L27" s="1862" t="s">
        <v>308</v>
      </c>
      <c r="M27" s="2170"/>
      <c r="N27" s="334"/>
      <c r="O27" s="1624"/>
      <c r="P27" s="1624"/>
      <c r="AH27" s="1631">
        <v>0</v>
      </c>
    </row>
    <row s="1635" customFormat="1" customHeight="1" ht="18.75" hidden="1">
      <c r="A28" s="1780"/>
      <c r="B28" s="1780"/>
      <c r="C28" s="369" t="s">
        <v>1147</v>
      </c>
      <c r="D28" s="2462"/>
      <c r="E28" s="2463"/>
      <c r="F28" s="2464"/>
      <c r="G28" s="2427"/>
      <c r="H28" s="1500"/>
      <c r="I28" s="651" t="s">
        <v>1148</v>
      </c>
      <c r="J28" s="571"/>
      <c r="K28" s="1500"/>
      <c r="L28" s="214"/>
      <c r="M28" s="2170"/>
      <c r="N28" s="334"/>
      <c r="O28" s="1624"/>
      <c r="P28" s="1624"/>
      <c r="AH28" s="1631">
        <v>0</v>
      </c>
    </row>
    <row s="1635" customFormat="1" customHeight="1" ht="0.75" hidden="1">
      <c r="A29" s="1780"/>
      <c r="B29" s="1780"/>
      <c r="C29" s="369" t="s">
        <v>1153</v>
      </c>
      <c r="D29" s="2462"/>
      <c r="E29" s="2204"/>
      <c r="F29" s="2383"/>
      <c r="G29" s="400"/>
      <c r="H29" s="1500"/>
      <c r="I29" s="651"/>
      <c r="J29" s="571"/>
      <c r="K29" s="1500"/>
      <c r="L29" s="214"/>
      <c r="M29" s="2170"/>
      <c r="N29" s="334"/>
      <c r="O29" s="1624"/>
      <c r="P29" s="1624"/>
      <c r="AH29" s="1631">
        <v>0</v>
      </c>
    </row>
    <row s="1635" customFormat="1" customHeight="1" ht="45" hidden="1">
      <c r="A30" s="1780" t="s">
        <v>171</v>
      </c>
      <c r="B30" s="1780" t="s">
        <v>172</v>
      </c>
      <c r="C30" s="369"/>
      <c r="D30" s="2462"/>
      <c r="E30" s="2204"/>
      <c r="F30" s="2383" t="str">
        <f>INDEX(PT_DIFFERENTIATION_VTAR,MATCH(A30,PT_DIFFERENTIATION_VTAR_ID,0))</f>
        <v>Тарифы на теплоноситель, поставляемый теплоснабжающими организациями потребителям, другим теплоснабжающим организациям</v>
      </c>
      <c r="G30" s="2427" t="str">
        <f>INDEX(PT_DIFFERENTIATION_NTAR,MATCH(B30,PT_DIFFERENTIATION_NTAR_ID,0))</f>
        <v/>
      </c>
      <c r="H30" s="1862"/>
      <c r="I30" s="1739"/>
      <c r="J30" s="1773"/>
      <c r="K30" s="1865"/>
      <c r="L30" s="1862" t="s">
        <v>308</v>
      </c>
      <c r="M30" s="2170"/>
      <c r="N30" s="334"/>
      <c r="O30" s="1624"/>
      <c r="P30" s="1624"/>
      <c r="AH30" s="1631">
        <v>0</v>
      </c>
    </row>
    <row s="1635" customFormat="1" customHeight="1" ht="18.75" hidden="1">
      <c r="A31" s="1780"/>
      <c r="B31" s="1780"/>
      <c r="C31" s="369" t="s">
        <v>1147</v>
      </c>
      <c r="D31" s="2462"/>
      <c r="E31" s="2204"/>
      <c r="F31" s="2383"/>
      <c r="G31" s="2427"/>
      <c r="H31" s="1500"/>
      <c r="I31" s="651" t="s">
        <v>1148</v>
      </c>
      <c r="J31" s="571"/>
      <c r="K31" s="1500"/>
      <c r="L31" s="214"/>
      <c r="M31" s="2170"/>
      <c r="N31" s="334"/>
      <c r="O31" s="1624"/>
      <c r="P31" s="1624"/>
      <c r="AH31" s="1631">
        <v>0</v>
      </c>
    </row>
    <row s="1635" customFormat="1" customHeight="1" ht="0.75" hidden="1">
      <c r="A32" s="1780"/>
      <c r="B32" s="1780"/>
      <c r="C32" s="369" t="s">
        <v>1153</v>
      </c>
      <c r="D32" s="2462"/>
      <c r="E32" s="2204"/>
      <c r="F32" s="2383"/>
      <c r="G32" s="400"/>
      <c r="H32" s="1500"/>
      <c r="I32" s="651"/>
      <c r="J32" s="571"/>
      <c r="K32" s="1500"/>
      <c r="L32" s="214"/>
      <c r="M32" s="2170"/>
      <c r="N32" s="334"/>
      <c r="O32" s="1624"/>
      <c r="P32" s="1624"/>
      <c r="AH32" s="1631">
        <v>0</v>
      </c>
    </row>
    <row s="1635" customFormat="1" customHeight="1" ht="45" hidden="1">
      <c r="A33" s="1780" t="s">
        <v>177</v>
      </c>
      <c r="B33" s="1780" t="s">
        <v>178</v>
      </c>
      <c r="C33" s="369"/>
      <c r="D33" s="2462"/>
      <c r="E33" s="2204"/>
      <c r="F33" s="2383" t="str">
        <f>INDEX(PT_DIFFERENTIATION_VTAR,MATCH(A33,PT_DIFFERENTIATION_VTAR_ID,0))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33" s="2427" t="str">
        <f>INDEX(PT_DIFFERENTIATION_NTAR,MATCH(B33,PT_DIFFERENTIATION_NTAR_ID,0))</f>
        <v/>
      </c>
      <c r="H33" s="1862"/>
      <c r="I33" s="1739"/>
      <c r="J33" s="1773"/>
      <c r="K33" s="1865"/>
      <c r="L33" s="1862" t="s">
        <v>308</v>
      </c>
      <c r="M33" s="2170"/>
      <c r="N33" s="334"/>
      <c r="O33" s="1624"/>
      <c r="P33" s="1624"/>
      <c r="AH33" s="1631">
        <v>0</v>
      </c>
    </row>
    <row s="1635" customFormat="1" customHeight="1" ht="18.75" hidden="1">
      <c r="A34" s="1780"/>
      <c r="B34" s="1780"/>
      <c r="C34" s="369" t="s">
        <v>1147</v>
      </c>
      <c r="D34" s="2462"/>
      <c r="E34" s="2204"/>
      <c r="F34" s="2383"/>
      <c r="G34" s="2427"/>
      <c r="H34" s="1500"/>
      <c r="I34" s="651" t="s">
        <v>1148</v>
      </c>
      <c r="J34" s="571"/>
      <c r="K34" s="1500"/>
      <c r="L34" s="214"/>
      <c r="M34" s="2170"/>
      <c r="N34" s="334"/>
      <c r="O34" s="1624"/>
      <c r="P34" s="1624"/>
      <c r="AH34" s="1631">
        <v>0</v>
      </c>
    </row>
    <row s="1635" customFormat="1" customHeight="1" ht="0.75" hidden="1">
      <c r="A35" s="1780"/>
      <c r="B35" s="1780"/>
      <c r="C35" s="369" t="s">
        <v>1153</v>
      </c>
      <c r="D35" s="2462"/>
      <c r="E35" s="2204"/>
      <c r="F35" s="2383"/>
      <c r="G35" s="400"/>
      <c r="H35" s="1500"/>
      <c r="I35" s="651"/>
      <c r="J35" s="571"/>
      <c r="K35" s="1500"/>
      <c r="L35" s="214"/>
      <c r="M35" s="2170"/>
      <c r="N35" s="334"/>
      <c r="O35" s="1624"/>
      <c r="P35" s="1624"/>
      <c r="AH35" s="1631">
        <v>0</v>
      </c>
    </row>
    <row s="1635" customFormat="1" customHeight="1" ht="18.75" hidden="1">
      <c r="A36" s="1780" t="s">
        <v>183</v>
      </c>
      <c r="B36" s="1780" t="s">
        <v>184</v>
      </c>
      <c r="C36" s="369"/>
      <c r="D36" s="2462"/>
      <c r="E36" s="2204"/>
      <c r="F36" s="2383" t="str">
        <f>INDEX(PT_DIFFERENTIATION_VTAR,MATCH(A36,PT_DIFFERENTIATION_VTAR_ID,0))</f>
        <v>Тарифы на услуги по передаче тепловой энергии</v>
      </c>
      <c r="G36" s="2427" t="str">
        <f>INDEX(PT_DIFFERENTIATION_NTAR,MATCH(B36,PT_DIFFERENTIATION_NTAR_ID,0))</f>
        <v/>
      </c>
      <c r="H36" s="1862"/>
      <c r="I36" s="1739"/>
      <c r="J36" s="1773"/>
      <c r="K36" s="1865"/>
      <c r="L36" s="1862" t="s">
        <v>308</v>
      </c>
      <c r="M36" s="2170"/>
      <c r="N36" s="334"/>
      <c r="O36" s="1624"/>
      <c r="P36" s="1624"/>
      <c r="AH36" s="1631">
        <v>0</v>
      </c>
    </row>
    <row s="1635" customFormat="1" customHeight="1" ht="18.75" hidden="1">
      <c r="A37" s="1780"/>
      <c r="B37" s="1780"/>
      <c r="C37" s="369" t="s">
        <v>1147</v>
      </c>
      <c r="D37" s="2462"/>
      <c r="E37" s="2204"/>
      <c r="F37" s="2383"/>
      <c r="G37" s="2427"/>
      <c r="H37" s="1500"/>
      <c r="I37" s="651" t="s">
        <v>1148</v>
      </c>
      <c r="J37" s="571"/>
      <c r="K37" s="1500"/>
      <c r="L37" s="214"/>
      <c r="M37" s="2170"/>
      <c r="N37" s="334"/>
      <c r="O37" s="1624"/>
      <c r="P37" s="1624"/>
      <c r="AH37" s="1631">
        <v>0</v>
      </c>
    </row>
    <row s="1635" customFormat="1" customHeight="1" ht="0.75" hidden="1">
      <c r="A38" s="1780"/>
      <c r="B38" s="1780"/>
      <c r="C38" s="369" t="s">
        <v>1153</v>
      </c>
      <c r="D38" s="2462"/>
      <c r="E38" s="2204"/>
      <c r="F38" s="2383"/>
      <c r="G38" s="400"/>
      <c r="H38" s="1500"/>
      <c r="I38" s="651"/>
      <c r="J38" s="571"/>
      <c r="K38" s="1500"/>
      <c r="L38" s="214"/>
      <c r="M38" s="2170"/>
      <c r="N38" s="334"/>
      <c r="O38" s="1624"/>
      <c r="P38" s="1624"/>
      <c r="AH38" s="1631">
        <v>0</v>
      </c>
    </row>
    <row s="1635" customFormat="1" customHeight="1" ht="18.75" hidden="1">
      <c r="A39" s="1780" t="s">
        <v>189</v>
      </c>
      <c r="B39" s="1780" t="s">
        <v>190</v>
      </c>
      <c r="C39" s="369"/>
      <c r="D39" s="2462"/>
      <c r="E39" s="2204"/>
      <c r="F39" s="2383" t="str">
        <f>INDEX(PT_DIFFERENTIATION_VTAR,MATCH(A39,PT_DIFFERENTIATION_VTAR_ID,0))</f>
        <v>Тарифы на услуги по передаче теплоносителя</v>
      </c>
      <c r="G39" s="2427" t="str">
        <f>INDEX(PT_DIFFERENTIATION_NTAR,MATCH(B39,PT_DIFFERENTIATION_NTAR_ID,0))</f>
        <v/>
      </c>
      <c r="H39" s="1862"/>
      <c r="I39" s="1739"/>
      <c r="J39" s="1773"/>
      <c r="K39" s="1865"/>
      <c r="L39" s="1862" t="s">
        <v>308</v>
      </c>
      <c r="M39" s="2170"/>
      <c r="N39" s="334"/>
      <c r="O39" s="1624"/>
      <c r="P39" s="1624"/>
      <c r="AH39" s="1631">
        <v>0</v>
      </c>
    </row>
    <row s="1635" customFormat="1" customHeight="1" ht="18.75" hidden="1">
      <c r="A40" s="1780"/>
      <c r="B40" s="1780"/>
      <c r="C40" s="369" t="s">
        <v>1147</v>
      </c>
      <c r="D40" s="2462"/>
      <c r="E40" s="2204"/>
      <c r="F40" s="2383"/>
      <c r="G40" s="2427"/>
      <c r="H40" s="1500"/>
      <c r="I40" s="651" t="s">
        <v>1148</v>
      </c>
      <c r="J40" s="571"/>
      <c r="K40" s="1500"/>
      <c r="L40" s="214"/>
      <c r="M40" s="2170"/>
      <c r="N40" s="334"/>
      <c r="O40" s="1624"/>
      <c r="P40" s="1624"/>
      <c r="AH40" s="1631">
        <v>0</v>
      </c>
    </row>
    <row s="1635" customFormat="1" customHeight="1" ht="0.75" hidden="1">
      <c r="A41" s="1780"/>
      <c r="B41" s="1780"/>
      <c r="C41" s="369" t="s">
        <v>1153</v>
      </c>
      <c r="D41" s="2462"/>
      <c r="E41" s="2204"/>
      <c r="F41" s="2383"/>
      <c r="G41" s="400"/>
      <c r="H41" s="1500"/>
      <c r="I41" s="651"/>
      <c r="J41" s="571"/>
      <c r="K41" s="1500"/>
      <c r="L41" s="214"/>
      <c r="M41" s="2170"/>
      <c r="N41" s="334"/>
      <c r="O41" s="1624"/>
      <c r="P41" s="1624"/>
      <c r="AH41" s="1631">
        <v>0</v>
      </c>
    </row>
    <row s="1635" customFormat="1" customHeight="1" ht="18.75" hidden="1">
      <c r="A42" s="1780" t="s">
        <v>195</v>
      </c>
      <c r="B42" s="1780" t="s">
        <v>196</v>
      </c>
      <c r="C42" s="369"/>
      <c r="D42" s="2462"/>
      <c r="E42" s="2204"/>
      <c r="F42" s="2383" t="str">
        <f>INDEX(PT_DIFFERENTIATION_VTAR,MATCH(A42,PT_DIFFERENTIATION_VTAR_ID,0))</f>
        <v>Плата за услуги по поддержанию резервной тепловой мощности при отсутствии потребления тепловой энергии</v>
      </c>
      <c r="G42" s="2427" t="str">
        <f>INDEX(PT_DIFFERENTIATION_NTAR,MATCH(B42,PT_DIFFERENTIATION_NTAR_ID,0))</f>
        <v/>
      </c>
      <c r="H42" s="1862"/>
      <c r="I42" s="1739"/>
      <c r="J42" s="1773"/>
      <c r="K42" s="1865"/>
      <c r="L42" s="1862" t="s">
        <v>308</v>
      </c>
      <c r="M42" s="2170"/>
      <c r="N42" s="334"/>
      <c r="O42" s="1624"/>
      <c r="P42" s="1624"/>
      <c r="AH42" s="1631">
        <v>0</v>
      </c>
    </row>
    <row s="1635" customFormat="1" customHeight="1" ht="18.75" hidden="1">
      <c r="A43" s="1780"/>
      <c r="B43" s="1780"/>
      <c r="C43" s="369" t="s">
        <v>1147</v>
      </c>
      <c r="D43" s="2462"/>
      <c r="E43" s="2204"/>
      <c r="F43" s="2383"/>
      <c r="G43" s="2427"/>
      <c r="H43" s="1500"/>
      <c r="I43" s="651" t="s">
        <v>1148</v>
      </c>
      <c r="J43" s="571"/>
      <c r="K43" s="1500"/>
      <c r="L43" s="214"/>
      <c r="M43" s="2170"/>
      <c r="N43" s="334"/>
      <c r="O43" s="1624"/>
      <c r="P43" s="1624"/>
      <c r="AH43" s="1631">
        <v>0</v>
      </c>
    </row>
    <row s="1635" customFormat="1" customHeight="1" ht="0.75" hidden="1">
      <c r="A44" s="1780"/>
      <c r="B44" s="1780"/>
      <c r="C44" s="369" t="s">
        <v>1153</v>
      </c>
      <c r="D44" s="2462"/>
      <c r="E44" s="2204"/>
      <c r="F44" s="2383"/>
      <c r="G44" s="400"/>
      <c r="H44" s="1500"/>
      <c r="I44" s="651"/>
      <c r="J44" s="571"/>
      <c r="K44" s="1500"/>
      <c r="L44" s="214"/>
      <c r="M44" s="2170"/>
      <c r="N44" s="334"/>
      <c r="O44" s="1624"/>
      <c r="P44" s="1624"/>
      <c r="AH44" s="1631">
        <v>0</v>
      </c>
    </row>
    <row s="1635" customFormat="1" customHeight="1" ht="18.75" hidden="1">
      <c r="A45" s="1780" t="s">
        <v>201</v>
      </c>
      <c r="B45" s="1780" t="s">
        <v>202</v>
      </c>
      <c r="C45" s="369"/>
      <c r="D45" s="2462"/>
      <c r="E45" s="2204"/>
      <c r="F45" s="2383" t="str">
        <f>INDEX(PT_DIFFERENTIATION_VTAR,MATCH(A45,PT_DIFFERENTIATION_VTAR_ID,0))</f>
        <v>Плата за подключение (технологическое присоединение) к системе теплоснабжения</v>
      </c>
      <c r="G45" s="2427" t="str">
        <f>INDEX(PT_DIFFERENTIATION_NTAR,MATCH(B45,PT_DIFFERENTIATION_NTAR_ID,0))</f>
        <v/>
      </c>
      <c r="H45" s="1862"/>
      <c r="I45" s="1739"/>
      <c r="J45" s="1773"/>
      <c r="K45" s="1865"/>
      <c r="L45" s="1862" t="s">
        <v>308</v>
      </c>
      <c r="M45" s="2170"/>
      <c r="N45" s="334"/>
      <c r="O45" s="1624"/>
      <c r="P45" s="1624"/>
      <c r="AH45" s="1631">
        <v>0</v>
      </c>
    </row>
    <row s="1635" customFormat="1" customHeight="1" ht="18.75" hidden="1">
      <c r="A46" s="1780"/>
      <c r="B46" s="1780"/>
      <c r="C46" s="369" t="s">
        <v>1147</v>
      </c>
      <c r="D46" s="2462"/>
      <c r="E46" s="2204"/>
      <c r="F46" s="2383"/>
      <c r="G46" s="2427"/>
      <c r="H46" s="1500"/>
      <c r="I46" s="651" t="s">
        <v>1148</v>
      </c>
      <c r="J46" s="571"/>
      <c r="K46" s="1500"/>
      <c r="L46" s="214"/>
      <c r="M46" s="2170"/>
      <c r="N46" s="334"/>
      <c r="O46" s="1624"/>
      <c r="P46" s="1624"/>
      <c r="AH46" s="1631">
        <v>0</v>
      </c>
    </row>
    <row s="1635" customFormat="1" customHeight="1" ht="0.75" hidden="1">
      <c r="A47" s="1780"/>
      <c r="B47" s="1780"/>
      <c r="C47" s="369" t="s">
        <v>1153</v>
      </c>
      <c r="D47" s="2462"/>
      <c r="E47" s="2204"/>
      <c r="F47" s="2383"/>
      <c r="G47" s="400"/>
      <c r="H47" s="1500"/>
      <c r="I47" s="651"/>
      <c r="J47" s="571"/>
      <c r="K47" s="1500"/>
      <c r="L47" s="214"/>
      <c r="M47" s="2170"/>
      <c r="N47" s="334"/>
      <c r="O47" s="1624"/>
      <c r="P47" s="1624"/>
      <c r="AH47" s="1631">
        <v>0</v>
      </c>
    </row>
    <row s="1635" customFormat="1" customHeight="1" ht="18.75" hidden="1">
      <c r="A48" s="1780" t="s">
        <v>207</v>
      </c>
      <c r="B48" s="1780" t="s">
        <v>208</v>
      </c>
      <c r="C48" s="369"/>
      <c r="D48" s="2462"/>
      <c r="E48" s="2204"/>
      <c r="F48" s="2383" t="str">
        <f>INDEX(PT_DIFFERENTIATION_VTAR,MATCH(A48,PT_DIFFERENTIATION_VTAR_ID,0))</f>
        <v>Плата за подключение (технологическое присоединение) к системе теплоснабжения (индивидуальная)</v>
      </c>
      <c r="G48" s="2427" t="str">
        <f>INDEX(PT_DIFFERENTIATION_NTAR,MATCH(B48,PT_DIFFERENTIATION_NTAR_ID,0))</f>
        <v/>
      </c>
      <c r="H48" s="1989"/>
      <c r="I48" s="1739"/>
      <c r="J48" s="1773"/>
      <c r="K48" s="1865"/>
      <c r="L48" s="1989" t="s">
        <v>308</v>
      </c>
      <c r="M48" s="2170"/>
      <c r="N48" s="334"/>
      <c r="O48" s="1624"/>
      <c r="P48" s="1624"/>
      <c r="AH48" s="1631">
        <v>0</v>
      </c>
    </row>
    <row s="1635" customFormat="1" customHeight="1" ht="18.75" hidden="1">
      <c r="A49" s="1780"/>
      <c r="B49" s="1780"/>
      <c r="C49" s="369" t="s">
        <v>1147</v>
      </c>
      <c r="D49" s="2462"/>
      <c r="E49" s="2204"/>
      <c r="F49" s="2383"/>
      <c r="G49" s="2427"/>
      <c r="H49" s="1500"/>
      <c r="I49" s="651" t="s">
        <v>1148</v>
      </c>
      <c r="J49" s="571"/>
      <c r="K49" s="1500"/>
      <c r="L49" s="214"/>
      <c r="M49" s="2170"/>
      <c r="N49" s="334"/>
      <c r="O49" s="1624"/>
      <c r="P49" s="1624"/>
      <c r="AH49" s="1631">
        <v>0</v>
      </c>
    </row>
    <row s="1635" customFormat="1" customHeight="1" ht="0.75" hidden="1">
      <c r="A50" s="1780"/>
      <c r="B50" s="1780"/>
      <c r="C50" s="369" t="s">
        <v>1153</v>
      </c>
      <c r="D50" s="2462"/>
      <c r="E50" s="2204"/>
      <c r="F50" s="2383"/>
      <c r="G50" s="400"/>
      <c r="H50" s="1500"/>
      <c r="I50" s="651"/>
      <c r="J50" s="571"/>
      <c r="K50" s="1500"/>
      <c r="L50" s="214"/>
      <c r="M50" s="2170"/>
      <c r="N50" s="334"/>
      <c r="O50" s="1624"/>
      <c r="P50" s="1624"/>
      <c r="AH50" s="1631">
        <v>0</v>
      </c>
    </row>
    <row s="1635" customFormat="1" customHeight="1" ht="18.75" hidden="1">
      <c r="A51" s="1780" t="s">
        <v>227</v>
      </c>
      <c r="B51" s="1780" t="s">
        <v>228</v>
      </c>
      <c r="C51" s="369"/>
      <c r="D51" s="2462"/>
      <c r="E51" s="2204"/>
      <c r="F51" s="2383" t="str">
        <f>INDEX(PT_DIFFERENTIATION_VTAR,MATCH(A51,PT_DIFFERENTIATION_VTAR_ID,0))</f>
        <v>Тариф на питьевую воду (питьевое водоснабжение)</v>
      </c>
      <c r="G51" s="2427" t="str">
        <f>INDEX(PT_DIFFERENTIATION_NTAR,MATCH(B51,PT_DIFFERENTIATION_NTAR_ID,0))</f>
        <v/>
      </c>
      <c r="H51" s="1862"/>
      <c r="I51" s="1739"/>
      <c r="J51" s="1773"/>
      <c r="K51" s="1865"/>
      <c r="L51" s="1862" t="s">
        <v>308</v>
      </c>
      <c r="M51" s="2170"/>
      <c r="N51" s="334"/>
      <c r="O51" s="1624"/>
      <c r="P51" s="1624"/>
      <c r="AH51" s="1631">
        <v>0</v>
      </c>
    </row>
    <row s="1635" customFormat="1" customHeight="1" ht="18.75" hidden="1">
      <c r="A52" s="1780"/>
      <c r="B52" s="1780"/>
      <c r="C52" s="369" t="s">
        <v>1147</v>
      </c>
      <c r="D52" s="2462"/>
      <c r="E52" s="2204"/>
      <c r="F52" s="2383"/>
      <c r="G52" s="2427"/>
      <c r="H52" s="1500"/>
      <c r="I52" s="651" t="s">
        <v>1148</v>
      </c>
      <c r="J52" s="571"/>
      <c r="K52" s="1500"/>
      <c r="L52" s="214"/>
      <c r="M52" s="2170"/>
      <c r="N52" s="334"/>
      <c r="O52" s="1624"/>
      <c r="P52" s="1624"/>
      <c r="AH52" s="1631">
        <v>0</v>
      </c>
    </row>
    <row s="1635" customFormat="1" customHeight="1" ht="0.75" hidden="1">
      <c r="A53" s="1780"/>
      <c r="B53" s="1780"/>
      <c r="C53" s="369" t="s">
        <v>1153</v>
      </c>
      <c r="D53" s="2462"/>
      <c r="E53" s="2204"/>
      <c r="F53" s="2383"/>
      <c r="G53" s="400"/>
      <c r="H53" s="1500"/>
      <c r="I53" s="651"/>
      <c r="J53" s="571"/>
      <c r="K53" s="1500"/>
      <c r="L53" s="214"/>
      <c r="M53" s="2170"/>
      <c r="N53" s="334"/>
      <c r="O53" s="1624"/>
      <c r="P53" s="1624"/>
      <c r="AH53" s="1631">
        <v>0</v>
      </c>
    </row>
    <row s="1635" customFormat="1" customHeight="1" ht="18.75" hidden="1">
      <c r="A54" s="1780" t="s">
        <v>232</v>
      </c>
      <c r="B54" s="1780" t="s">
        <v>233</v>
      </c>
      <c r="C54" s="369"/>
      <c r="D54" s="2462"/>
      <c r="E54" s="2204"/>
      <c r="F54" s="2383" t="str">
        <f>INDEX(PT_DIFFERENTIATION_VTAR,MATCH(A54,PT_DIFFERENTIATION_VTAR_ID,0))</f>
        <v>Тариф на техническую воду</v>
      </c>
      <c r="G54" s="2427" t="str">
        <f>INDEX(PT_DIFFERENTIATION_NTAR,MATCH(B54,PT_DIFFERENTIATION_NTAR_ID,0))</f>
        <v/>
      </c>
      <c r="H54" s="1862"/>
      <c r="I54" s="1739"/>
      <c r="J54" s="1773"/>
      <c r="K54" s="1865"/>
      <c r="L54" s="1862" t="s">
        <v>308</v>
      </c>
      <c r="M54" s="2170"/>
      <c r="N54" s="334"/>
      <c r="O54" s="1624"/>
      <c r="P54" s="1624"/>
      <c r="AH54" s="1631">
        <v>0</v>
      </c>
    </row>
    <row s="1635" customFormat="1" customHeight="1" ht="18.75" hidden="1">
      <c r="A55" s="1780"/>
      <c r="B55" s="1780"/>
      <c r="C55" s="369" t="s">
        <v>1147</v>
      </c>
      <c r="D55" s="2462"/>
      <c r="E55" s="2204"/>
      <c r="F55" s="2383"/>
      <c r="G55" s="2427"/>
      <c r="H55" s="1500"/>
      <c r="I55" s="651" t="s">
        <v>1148</v>
      </c>
      <c r="J55" s="571"/>
      <c r="K55" s="1500"/>
      <c r="L55" s="214"/>
      <c r="M55" s="2170"/>
      <c r="N55" s="334"/>
      <c r="O55" s="1624"/>
      <c r="P55" s="1624"/>
      <c r="AH55" s="1631">
        <v>0</v>
      </c>
    </row>
    <row s="1635" customFormat="1" customHeight="1" ht="0.75" hidden="1">
      <c r="A56" s="1780"/>
      <c r="B56" s="1780"/>
      <c r="C56" s="369" t="s">
        <v>1153</v>
      </c>
      <c r="D56" s="2462"/>
      <c r="E56" s="2204"/>
      <c r="F56" s="2383"/>
      <c r="G56" s="400"/>
      <c r="H56" s="1500"/>
      <c r="I56" s="651"/>
      <c r="J56" s="571"/>
      <c r="K56" s="1500"/>
      <c r="L56" s="214"/>
      <c r="M56" s="2170"/>
      <c r="N56" s="334"/>
      <c r="O56" s="1624"/>
      <c r="P56" s="1624"/>
      <c r="AH56" s="1631">
        <v>0</v>
      </c>
    </row>
    <row s="1635" customFormat="1" customHeight="1" ht="18.75" hidden="1">
      <c r="A57" s="1780" t="s">
        <v>237</v>
      </c>
      <c r="B57" s="1780" t="s">
        <v>238</v>
      </c>
      <c r="C57" s="369"/>
      <c r="D57" s="2462"/>
      <c r="E57" s="2204"/>
      <c r="F57" s="2383" t="str">
        <f>INDEX(PT_DIFFERENTIATION_VTAR,MATCH(A57,PT_DIFFERENTIATION_VTAR_ID,0))</f>
        <v>Тариф на транспортировку воды</v>
      </c>
      <c r="G57" s="2427" t="str">
        <f>INDEX(PT_DIFFERENTIATION_NTAR,MATCH(B57,PT_DIFFERENTIATION_NTAR_ID,0))</f>
        <v/>
      </c>
      <c r="H57" s="1862"/>
      <c r="I57" s="1739"/>
      <c r="J57" s="1773"/>
      <c r="K57" s="1865"/>
      <c r="L57" s="1862" t="s">
        <v>308</v>
      </c>
      <c r="M57" s="2170"/>
      <c r="N57" s="334"/>
      <c r="O57" s="1624"/>
      <c r="P57" s="1624"/>
      <c r="AH57" s="1631">
        <v>0</v>
      </c>
    </row>
    <row s="1635" customFormat="1" customHeight="1" ht="18.75" hidden="1">
      <c r="A58" s="1780"/>
      <c r="B58" s="1780"/>
      <c r="C58" s="369" t="s">
        <v>1147</v>
      </c>
      <c r="D58" s="2462"/>
      <c r="E58" s="2204"/>
      <c r="F58" s="2383"/>
      <c r="G58" s="2427"/>
      <c r="H58" s="1500"/>
      <c r="I58" s="651" t="s">
        <v>1148</v>
      </c>
      <c r="J58" s="571"/>
      <c r="K58" s="1500"/>
      <c r="L58" s="214"/>
      <c r="M58" s="2170"/>
      <c r="N58" s="334"/>
      <c r="O58" s="1624"/>
      <c r="P58" s="1624"/>
      <c r="AH58" s="1631">
        <v>0</v>
      </c>
    </row>
    <row s="1635" customFormat="1" customHeight="1" ht="0.75" hidden="1">
      <c r="A59" s="1780"/>
      <c r="B59" s="1780"/>
      <c r="C59" s="369" t="s">
        <v>1153</v>
      </c>
      <c r="D59" s="2462"/>
      <c r="E59" s="2204"/>
      <c r="F59" s="2383"/>
      <c r="G59" s="400"/>
      <c r="H59" s="1500"/>
      <c r="I59" s="651"/>
      <c r="J59" s="571"/>
      <c r="K59" s="1500"/>
      <c r="L59" s="214"/>
      <c r="M59" s="2170"/>
      <c r="N59" s="334"/>
      <c r="O59" s="1624"/>
      <c r="P59" s="1624"/>
      <c r="AH59" s="1631">
        <v>0</v>
      </c>
    </row>
    <row s="1635" customFormat="1" customHeight="1" ht="18.75" hidden="1">
      <c r="A60" s="1780" t="s">
        <v>242</v>
      </c>
      <c r="B60" s="1780" t="s">
        <v>243</v>
      </c>
      <c r="C60" s="369"/>
      <c r="D60" s="2462"/>
      <c r="E60" s="2204"/>
      <c r="F60" s="2383" t="str">
        <f>INDEX(PT_DIFFERENTIATION_VTAR,MATCH(A60,PT_DIFFERENTIATION_VTAR_ID,0))</f>
        <v>Тариф на подвоз воды</v>
      </c>
      <c r="G60" s="2427" t="str">
        <f>INDEX(PT_DIFFERENTIATION_NTAR,MATCH(B60,PT_DIFFERENTIATION_NTAR_ID,0))</f>
        <v/>
      </c>
      <c r="H60" s="1862"/>
      <c r="I60" s="1739"/>
      <c r="J60" s="1773"/>
      <c r="K60" s="1865"/>
      <c r="L60" s="1862" t="s">
        <v>308</v>
      </c>
      <c r="M60" s="2170"/>
      <c r="N60" s="334"/>
      <c r="O60" s="1624"/>
      <c r="P60" s="1624"/>
      <c r="AH60" s="1631">
        <v>0</v>
      </c>
    </row>
    <row s="1635" customFormat="1" customHeight="1" ht="18.75" hidden="1">
      <c r="A61" s="1780"/>
      <c r="B61" s="1780"/>
      <c r="C61" s="369" t="s">
        <v>1147</v>
      </c>
      <c r="D61" s="2462"/>
      <c r="E61" s="2204"/>
      <c r="F61" s="2383"/>
      <c r="G61" s="2427"/>
      <c r="H61" s="1500"/>
      <c r="I61" s="651" t="s">
        <v>1148</v>
      </c>
      <c r="J61" s="571"/>
      <c r="K61" s="1500"/>
      <c r="L61" s="214"/>
      <c r="M61" s="2170"/>
      <c r="N61" s="334"/>
      <c r="O61" s="1624"/>
      <c r="P61" s="1624"/>
      <c r="AH61" s="1631">
        <v>0</v>
      </c>
    </row>
    <row s="1635" customFormat="1" customHeight="1" ht="0.75" hidden="1">
      <c r="A62" s="1780"/>
      <c r="B62" s="1780"/>
      <c r="C62" s="369" t="s">
        <v>1153</v>
      </c>
      <c r="D62" s="2462"/>
      <c r="E62" s="2204"/>
      <c r="F62" s="2383"/>
      <c r="G62" s="400"/>
      <c r="H62" s="1500"/>
      <c r="I62" s="651"/>
      <c r="J62" s="571"/>
      <c r="K62" s="1500"/>
      <c r="L62" s="214"/>
      <c r="M62" s="2170"/>
      <c r="N62" s="334"/>
      <c r="O62" s="1624"/>
      <c r="P62" s="1624"/>
      <c r="AH62" s="1631">
        <v>0</v>
      </c>
    </row>
    <row s="1635" customFormat="1" customHeight="1" ht="18.75" hidden="1">
      <c r="A63" s="1780" t="s">
        <v>247</v>
      </c>
      <c r="B63" s="1780" t="s">
        <v>248</v>
      </c>
      <c r="C63" s="369"/>
      <c r="D63" s="2462"/>
      <c r="E63" s="2204"/>
      <c r="F63" s="2383" t="str">
        <f>INDEX(PT_DIFFERENTIATION_VTAR,MATCH(A63,PT_DIFFERENTIATION_VTAR_ID,0))</f>
        <v>Тариф на подключение (технологическое присоединение) к централизованной системе холодного водоснабжения</v>
      </c>
      <c r="G63" s="2427" t="str">
        <f>INDEX(PT_DIFFERENTIATION_NTAR,MATCH(B63,PT_DIFFERENTIATION_NTAR_ID,0))</f>
        <v/>
      </c>
      <c r="H63" s="1862"/>
      <c r="I63" s="1739"/>
      <c r="J63" s="1773"/>
      <c r="K63" s="1865"/>
      <c r="L63" s="1862" t="s">
        <v>308</v>
      </c>
      <c r="M63" s="2170"/>
      <c r="N63" s="334"/>
      <c r="O63" s="1624"/>
      <c r="P63" s="1624"/>
      <c r="AH63" s="1631">
        <v>0</v>
      </c>
    </row>
    <row s="1635" customFormat="1" customHeight="1" ht="18.75" hidden="1">
      <c r="A64" s="1780"/>
      <c r="B64" s="1780"/>
      <c r="C64" s="369" t="s">
        <v>1147</v>
      </c>
      <c r="D64" s="2462"/>
      <c r="E64" s="2204"/>
      <c r="F64" s="2383"/>
      <c r="G64" s="2427"/>
      <c r="H64" s="1500"/>
      <c r="I64" s="651" t="s">
        <v>1148</v>
      </c>
      <c r="J64" s="571"/>
      <c r="K64" s="1500"/>
      <c r="L64" s="214"/>
      <c r="M64" s="2170"/>
      <c r="N64" s="334"/>
      <c r="O64" s="1624"/>
      <c r="P64" s="1624"/>
      <c r="AH64" s="1631">
        <v>0</v>
      </c>
    </row>
    <row s="1635" customFormat="1" customHeight="1" ht="0.75" hidden="1">
      <c r="A65" s="1780"/>
      <c r="B65" s="1780"/>
      <c r="C65" s="369" t="s">
        <v>1153</v>
      </c>
      <c r="D65" s="2462"/>
      <c r="E65" s="2204"/>
      <c r="F65" s="2383"/>
      <c r="G65" s="400"/>
      <c r="H65" s="1500"/>
      <c r="I65" s="651"/>
      <c r="J65" s="571"/>
      <c r="K65" s="1500"/>
      <c r="L65" s="214"/>
      <c r="M65" s="2170"/>
      <c r="N65" s="334"/>
      <c r="O65" s="1624"/>
      <c r="P65" s="1624"/>
      <c r="AH65" s="1631">
        <v>0</v>
      </c>
    </row>
    <row s="1635" customFormat="1" customHeight="1" ht="18.75" hidden="1">
      <c r="A66" s="1780" t="s">
        <v>252</v>
      </c>
      <c r="B66" s="1780" t="s">
        <v>253</v>
      </c>
      <c r="C66" s="369"/>
      <c r="D66" s="2462"/>
      <c r="E66" s="2204"/>
      <c r="F66" s="2383" t="str">
        <f>INDEX(PT_DIFFERENTIATION_VTAR,MATCH(A66,PT_DIFFERENTIATION_VTAR_ID,0))</f>
        <v>Тариф на горячую воду (горячее водоснабжение)</v>
      </c>
      <c r="G66" s="2427" t="str">
        <f>INDEX(PT_DIFFERENTIATION_NTAR,MATCH(B66,PT_DIFFERENTIATION_NTAR_ID,0))</f>
        <v/>
      </c>
      <c r="H66" s="1862"/>
      <c r="I66" s="1739"/>
      <c r="J66" s="1773"/>
      <c r="K66" s="1865"/>
      <c r="L66" s="1862" t="s">
        <v>308</v>
      </c>
      <c r="M66" s="2170"/>
      <c r="N66" s="334"/>
      <c r="O66" s="1624"/>
      <c r="P66" s="1624"/>
      <c r="AH66" s="1631">
        <v>0</v>
      </c>
    </row>
    <row s="1635" customFormat="1" customHeight="1" ht="18.75" hidden="1">
      <c r="A67" s="1780"/>
      <c r="B67" s="1780"/>
      <c r="C67" s="369" t="s">
        <v>1147</v>
      </c>
      <c r="D67" s="2462"/>
      <c r="E67" s="2204"/>
      <c r="F67" s="2383"/>
      <c r="G67" s="2427"/>
      <c r="H67" s="1500"/>
      <c r="I67" s="651" t="s">
        <v>1148</v>
      </c>
      <c r="J67" s="571"/>
      <c r="K67" s="1500"/>
      <c r="L67" s="214"/>
      <c r="M67" s="2170"/>
      <c r="N67" s="334"/>
      <c r="O67" s="1624"/>
      <c r="P67" s="1624"/>
      <c r="AH67" s="1631">
        <v>0</v>
      </c>
    </row>
    <row s="1635" customFormat="1" customHeight="1" ht="0.75" hidden="1">
      <c r="A68" s="1780"/>
      <c r="B68" s="1780"/>
      <c r="C68" s="369" t="s">
        <v>1153</v>
      </c>
      <c r="D68" s="2462"/>
      <c r="E68" s="2204"/>
      <c r="F68" s="2383"/>
      <c r="G68" s="400"/>
      <c r="H68" s="1500"/>
      <c r="I68" s="651"/>
      <c r="J68" s="571"/>
      <c r="K68" s="1500"/>
      <c r="L68" s="214"/>
      <c r="M68" s="2170"/>
      <c r="N68" s="334"/>
      <c r="O68" s="1624"/>
      <c r="P68" s="1624"/>
      <c r="AH68" s="1631">
        <v>0</v>
      </c>
    </row>
    <row s="1635" customFormat="1" customHeight="1" ht="18.75" hidden="1">
      <c r="A69" s="1780" t="s">
        <v>257</v>
      </c>
      <c r="B69" s="1780" t="s">
        <v>258</v>
      </c>
      <c r="C69" s="369"/>
      <c r="D69" s="2462"/>
      <c r="E69" s="2204"/>
      <c r="F69" s="2383" t="str">
        <f>INDEX(PT_DIFFERENTIATION_VTAR,MATCH(A69,PT_DIFFERENTIATION_VTAR_ID,0))</f>
        <v>Тариф на транспортировку горячей воды</v>
      </c>
      <c r="G69" s="2427" t="str">
        <f>INDEX(PT_DIFFERENTIATION_NTAR,MATCH(B69,PT_DIFFERENTIATION_NTAR_ID,0))</f>
        <v/>
      </c>
      <c r="H69" s="1862"/>
      <c r="I69" s="1739"/>
      <c r="J69" s="1773"/>
      <c r="K69" s="1865"/>
      <c r="L69" s="1862" t="s">
        <v>308</v>
      </c>
      <c r="M69" s="2170"/>
      <c r="N69" s="334"/>
      <c r="O69" s="1624"/>
      <c r="P69" s="1624"/>
      <c r="AH69" s="1631">
        <v>0</v>
      </c>
    </row>
    <row s="1635" customFormat="1" customHeight="1" ht="18.75" hidden="1">
      <c r="A70" s="1780"/>
      <c r="B70" s="1780"/>
      <c r="C70" s="369" t="s">
        <v>1147</v>
      </c>
      <c r="D70" s="2462"/>
      <c r="E70" s="2204"/>
      <c r="F70" s="2383"/>
      <c r="G70" s="2427"/>
      <c r="H70" s="1500"/>
      <c r="I70" s="651" t="s">
        <v>1148</v>
      </c>
      <c r="J70" s="571"/>
      <c r="K70" s="1500"/>
      <c r="L70" s="214"/>
      <c r="M70" s="2170"/>
      <c r="N70" s="334"/>
      <c r="O70" s="1624"/>
      <c r="P70" s="1624"/>
      <c r="AH70" s="1631">
        <v>0</v>
      </c>
    </row>
    <row s="1635" customFormat="1" customHeight="1" ht="0.75" hidden="1">
      <c r="A71" s="1780"/>
      <c r="B71" s="1780"/>
      <c r="C71" s="369" t="s">
        <v>1153</v>
      </c>
      <c r="D71" s="2462"/>
      <c r="E71" s="2204"/>
      <c r="F71" s="2383"/>
      <c r="G71" s="400"/>
      <c r="H71" s="1500"/>
      <c r="I71" s="651"/>
      <c r="J71" s="571"/>
      <c r="K71" s="1500"/>
      <c r="L71" s="214"/>
      <c r="M71" s="2170"/>
      <c r="N71" s="334"/>
      <c r="O71" s="1624"/>
      <c r="P71" s="1624"/>
      <c r="AH71" s="1631">
        <v>0</v>
      </c>
    </row>
    <row s="1635" customFormat="1" customHeight="1" ht="18.75" hidden="1">
      <c r="A72" s="1780" t="s">
        <v>262</v>
      </c>
      <c r="B72" s="1780" t="s">
        <v>263</v>
      </c>
      <c r="C72" s="369"/>
      <c r="D72" s="2462"/>
      <c r="E72" s="2204"/>
      <c r="F72" s="2383" t="str">
        <f>INDEX(PT_DIFFERENTIATION_VTAR,MATCH(A72,PT_DIFFERENTIATION_VTAR_ID,0))</f>
        <v>Тариф на подключение (технологическое присоединение) к централизованной системе горячего водоснабжения</v>
      </c>
      <c r="G72" s="2427" t="str">
        <f>INDEX(PT_DIFFERENTIATION_NTAR,MATCH(B72,PT_DIFFERENTIATION_NTAR_ID,0))</f>
        <v/>
      </c>
      <c r="H72" s="1862"/>
      <c r="I72" s="1739"/>
      <c r="J72" s="1773"/>
      <c r="K72" s="1865"/>
      <c r="L72" s="1862" t="s">
        <v>308</v>
      </c>
      <c r="M72" s="2170"/>
      <c r="N72" s="334"/>
      <c r="O72" s="1624"/>
      <c r="P72" s="1624"/>
      <c r="AH72" s="1631">
        <v>0</v>
      </c>
    </row>
    <row s="1635" customFormat="1" customHeight="1" ht="18.75" hidden="1">
      <c r="A73" s="1780"/>
      <c r="B73" s="1780"/>
      <c r="C73" s="369" t="s">
        <v>1147</v>
      </c>
      <c r="D73" s="2462"/>
      <c r="E73" s="2204"/>
      <c r="F73" s="2383"/>
      <c r="G73" s="2427"/>
      <c r="H73" s="1500"/>
      <c r="I73" s="651" t="s">
        <v>1148</v>
      </c>
      <c r="J73" s="571"/>
      <c r="K73" s="1500"/>
      <c r="L73" s="214"/>
      <c r="M73" s="2170"/>
      <c r="N73" s="334"/>
      <c r="O73" s="1624"/>
      <c r="P73" s="1624"/>
      <c r="AH73" s="1631">
        <v>0</v>
      </c>
    </row>
    <row s="1635" customFormat="1" customHeight="1" ht="0.75" hidden="1">
      <c r="A74" s="1780"/>
      <c r="B74" s="1780"/>
      <c r="C74" s="369" t="s">
        <v>1153</v>
      </c>
      <c r="D74" s="2462"/>
      <c r="E74" s="2204"/>
      <c r="F74" s="2383"/>
      <c r="G74" s="400"/>
      <c r="H74" s="1500"/>
      <c r="I74" s="651"/>
      <c r="J74" s="571"/>
      <c r="K74" s="1500"/>
      <c r="L74" s="214"/>
      <c r="M74" s="2170"/>
      <c r="N74" s="334"/>
      <c r="O74" s="1624"/>
      <c r="P74" s="1624"/>
      <c r="AH74" s="1631">
        <v>0</v>
      </c>
    </row>
    <row s="1635" customFormat="1" customHeight="1" ht="18.75" hidden="1">
      <c r="A75" s="1780" t="s">
        <v>267</v>
      </c>
      <c r="B75" s="1780" t="s">
        <v>268</v>
      </c>
      <c r="C75" s="369"/>
      <c r="D75" s="2462"/>
      <c r="E75" s="2204"/>
      <c r="F75" s="2383" t="str">
        <f>INDEX(PT_DIFFERENTIATION_VTAR,MATCH(A75,PT_DIFFERENTIATION_VTAR_ID,0))</f>
        <v>Тариф на водоотведение</v>
      </c>
      <c r="G75" s="2427" t="str">
        <f>INDEX(PT_DIFFERENTIATION_NTAR,MATCH(B75,PT_DIFFERENTIATION_NTAR_ID,0))</f>
        <v/>
      </c>
      <c r="H75" s="1862"/>
      <c r="I75" s="1739"/>
      <c r="J75" s="1773"/>
      <c r="K75" s="1865"/>
      <c r="L75" s="1862" t="s">
        <v>308</v>
      </c>
      <c r="M75" s="2170"/>
      <c r="N75" s="334"/>
      <c r="O75" s="1624"/>
      <c r="P75" s="1624"/>
      <c r="AH75" s="1631">
        <v>0</v>
      </c>
    </row>
    <row s="1635" customFormat="1" customHeight="1" ht="18.75" hidden="1">
      <c r="A76" s="1780"/>
      <c r="B76" s="1780"/>
      <c r="C76" s="369" t="s">
        <v>1147</v>
      </c>
      <c r="D76" s="2462"/>
      <c r="E76" s="2204"/>
      <c r="F76" s="2383"/>
      <c r="G76" s="2427"/>
      <c r="H76" s="1500"/>
      <c r="I76" s="651" t="s">
        <v>1148</v>
      </c>
      <c r="J76" s="571"/>
      <c r="K76" s="1500"/>
      <c r="L76" s="214"/>
      <c r="M76" s="2170"/>
      <c r="N76" s="334"/>
      <c r="O76" s="1624"/>
      <c r="P76" s="1624"/>
      <c r="AH76" s="1631">
        <v>0</v>
      </c>
    </row>
    <row s="1635" customFormat="1" customHeight="1" ht="0.75" hidden="1">
      <c r="A77" s="1780"/>
      <c r="B77" s="1780"/>
      <c r="C77" s="369" t="s">
        <v>1153</v>
      </c>
      <c r="D77" s="2462"/>
      <c r="E77" s="2204"/>
      <c r="F77" s="2383"/>
      <c r="G77" s="400"/>
      <c r="H77" s="1500"/>
      <c r="I77" s="651"/>
      <c r="J77" s="571"/>
      <c r="K77" s="1500"/>
      <c r="L77" s="214"/>
      <c r="M77" s="2170"/>
      <c r="N77" s="334"/>
      <c r="O77" s="1624"/>
      <c r="P77" s="1624"/>
      <c r="AH77" s="1631">
        <v>0</v>
      </c>
    </row>
    <row s="1635" customFormat="1" customHeight="1" ht="18.75" hidden="1">
      <c r="A78" s="1780" t="s">
        <v>272</v>
      </c>
      <c r="B78" s="1780" t="s">
        <v>273</v>
      </c>
      <c r="C78" s="369"/>
      <c r="D78" s="2462"/>
      <c r="E78" s="2204"/>
      <c r="F78" s="2383" t="str">
        <f>INDEX(PT_DIFFERENTIATION_VTAR,MATCH(A78,PT_DIFFERENTIATION_VTAR_ID,0))</f>
        <v>Тариф на транспортировку сточных вод</v>
      </c>
      <c r="G78" s="2427" t="str">
        <f>INDEX(PT_DIFFERENTIATION_NTAR,MATCH(B78,PT_DIFFERENTIATION_NTAR_ID,0))</f>
        <v/>
      </c>
      <c r="H78" s="1862"/>
      <c r="I78" s="1739"/>
      <c r="J78" s="1773"/>
      <c r="K78" s="1865"/>
      <c r="L78" s="1862" t="s">
        <v>308</v>
      </c>
      <c r="M78" s="2170"/>
      <c r="N78" s="334"/>
      <c r="O78" s="1624"/>
      <c r="P78" s="1624"/>
      <c r="AH78" s="1631">
        <v>0</v>
      </c>
    </row>
    <row s="1635" customFormat="1" customHeight="1" ht="18.75" hidden="1">
      <c r="A79" s="1780"/>
      <c r="B79" s="1780"/>
      <c r="C79" s="369" t="s">
        <v>1147</v>
      </c>
      <c r="D79" s="2462"/>
      <c r="E79" s="2204"/>
      <c r="F79" s="2383"/>
      <c r="G79" s="2427"/>
      <c r="H79" s="1500"/>
      <c r="I79" s="651" t="s">
        <v>1148</v>
      </c>
      <c r="J79" s="571"/>
      <c r="K79" s="1500"/>
      <c r="L79" s="214"/>
      <c r="M79" s="2170"/>
      <c r="N79" s="334"/>
      <c r="O79" s="1624"/>
      <c r="P79" s="1624"/>
      <c r="AH79" s="1631">
        <v>0</v>
      </c>
    </row>
    <row s="1635" customFormat="1" customHeight="1" ht="0.75" hidden="1">
      <c r="A80" s="1780"/>
      <c r="B80" s="1780"/>
      <c r="C80" s="369" t="s">
        <v>1153</v>
      </c>
      <c r="D80" s="2462"/>
      <c r="E80" s="2204"/>
      <c r="F80" s="2383"/>
      <c r="G80" s="400"/>
      <c r="H80" s="1500"/>
      <c r="I80" s="651"/>
      <c r="J80" s="571"/>
      <c r="K80" s="1500"/>
      <c r="L80" s="214"/>
      <c r="M80" s="2170"/>
      <c r="N80" s="334"/>
      <c r="O80" s="1624"/>
      <c r="P80" s="1624"/>
      <c r="AH80" s="1631">
        <v>0</v>
      </c>
    </row>
    <row s="1635" customFormat="1" customHeight="1" ht="18.75" hidden="1">
      <c r="A81" s="1780" t="s">
        <v>277</v>
      </c>
      <c r="B81" s="1780" t="s">
        <v>278</v>
      </c>
      <c r="C81" s="369"/>
      <c r="D81" s="2462"/>
      <c r="E81" s="2204"/>
      <c r="F81" s="2383" t="str">
        <f>INDEX(PT_DIFFERENTIATION_VTAR,MATCH(A81,PT_DIFFERENTIATION_VTAR_ID,0))</f>
        <v>Тариф на подключение (технологическое присоединение) к централизованной системе водоотведения</v>
      </c>
      <c r="G81" s="2427" t="str">
        <f>INDEX(PT_DIFFERENTIATION_NTAR,MATCH(B81,PT_DIFFERENTIATION_NTAR_ID,0))</f>
        <v/>
      </c>
      <c r="H81" s="1862"/>
      <c r="I81" s="1739"/>
      <c r="J81" s="1773"/>
      <c r="K81" s="1865"/>
      <c r="L81" s="1862" t="s">
        <v>308</v>
      </c>
      <c r="M81" s="2170"/>
      <c r="N81" s="334"/>
      <c r="O81" s="1624"/>
      <c r="P81" s="1624"/>
      <c r="AH81" s="1631">
        <v>0</v>
      </c>
    </row>
    <row s="1635" customFormat="1" customHeight="1" ht="18.75" hidden="1">
      <c r="A82" s="1780"/>
      <c r="B82" s="1780"/>
      <c r="C82" s="369" t="s">
        <v>1147</v>
      </c>
      <c r="D82" s="2462"/>
      <c r="E82" s="2204"/>
      <c r="F82" s="2383"/>
      <c r="G82" s="2427"/>
      <c r="H82" s="1500"/>
      <c r="I82" s="651" t="s">
        <v>1148</v>
      </c>
      <c r="J82" s="571"/>
      <c r="K82" s="1500"/>
      <c r="L82" s="214"/>
      <c r="M82" s="2170"/>
      <c r="N82" s="334"/>
      <c r="O82" s="1624"/>
      <c r="P82" s="1624"/>
      <c r="AH82" s="1631">
        <v>0</v>
      </c>
    </row>
    <row s="1635" customFormat="1" customHeight="1" ht="1.05">
      <c r="A83" s="1780"/>
      <c r="B83" s="1780"/>
      <c r="C83" s="369" t="s">
        <v>1153</v>
      </c>
      <c r="D83" s="2462"/>
      <c r="E83" s="2204"/>
      <c r="F83" s="2383"/>
      <c r="G83" s="400"/>
      <c r="H83" s="1500"/>
      <c r="I83" s="651"/>
      <c r="J83" s="571"/>
      <c r="K83" s="1500"/>
      <c r="L83" s="214"/>
      <c r="M83" s="2170"/>
      <c r="N83" s="334"/>
      <c r="O83" s="1624"/>
      <c r="P83" s="1624"/>
      <c r="AH83" s="1631">
        <v>1</v>
      </c>
    </row>
    <row customHeight="1" ht="19.95">
      <c r="A84" s="1780"/>
      <c r="B84" s="1780"/>
      <c r="D84" s="376"/>
      <c r="E84" s="147" t="s">
        <v>110</v>
      </c>
      <c r="F84" s="2460" t="str">
        <f>"Долгосрочные параметры регулирования (в случае если их установление предусмотрено выбранным методом регулирования тарифов в сфере "&amp;TEMPLATE_SPHERE_RUS&amp;")"</f>
        <v>Долгосрочные параметры регулирования (в случае если их установление предусмотрено выбранным методом регулирования тарифов в сфере теплоснабжения)</v>
      </c>
      <c r="G84" s="2460"/>
      <c r="H84" s="2460"/>
      <c r="I84" s="2460"/>
      <c r="J84" s="2460"/>
      <c r="K84" s="2460"/>
      <c r="L84" s="2460"/>
      <c r="M84" s="297"/>
      <c r="N84" s="334"/>
      <c r="AH84" s="374">
        <v>19</v>
      </c>
    </row>
    <row customHeight="1" ht="35.699999999999996">
      <c r="A85" s="1780"/>
      <c r="B85" s="1780"/>
      <c r="D85" s="376"/>
      <c r="E85" s="399"/>
      <c r="F85" s="198" t="s">
        <v>308</v>
      </c>
      <c r="G85" s="198" t="s">
        <v>308</v>
      </c>
      <c r="H85" s="2218" t="s">
        <v>308</v>
      </c>
      <c r="I85" s="2220"/>
      <c r="J85" s="198" t="s">
        <v>308</v>
      </c>
      <c r="K85" s="198" t="s">
        <v>308</v>
      </c>
      <c r="L85" s="401"/>
      <c r="M85" s="345" t="s">
        <v>1154</v>
      </c>
      <c r="N85" s="334"/>
      <c r="AH85" s="374">
        <v>34</v>
      </c>
    </row>
    <row customHeight="1" ht="19.95">
      <c r="A86" s="1780"/>
      <c r="B86" s="1780"/>
      <c r="D86" s="376"/>
      <c r="E86" s="147" t="s">
        <v>90</v>
      </c>
      <c r="F86" s="2460" t="s">
        <v>1155</v>
      </c>
      <c r="G86" s="2460"/>
      <c r="H86" s="2460"/>
      <c r="I86" s="2460"/>
      <c r="J86" s="2460"/>
      <c r="K86" s="2460"/>
      <c r="L86" s="2460"/>
      <c r="M86" s="297"/>
      <c r="N86" s="334"/>
      <c r="AH86" s="374">
        <v>19</v>
      </c>
    </row>
    <row s="1635" customFormat="1" customHeight="1" ht="60.75" hidden="1">
      <c r="A87" s="1780" t="s">
        <v>159</v>
      </c>
      <c r="B87" s="1780" t="s">
        <v>160</v>
      </c>
      <c r="C87" s="369"/>
      <c r="D87" s="2462"/>
      <c r="E87" s="2204"/>
      <c r="F87" s="2383" t="str">
        <f>INDEX(PT_DIFFERENTIATION_VTAR,MATCH(A87,PT_DIFFERENTIATION_VTAR_ID,0))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87" s="2427" t="str">
        <f>INDEX(PT_DIFFERENTIATION_NTAR,MATCH(B87,PT_DIFFERENTIATION_NTAR_ID,0))</f>
        <v/>
      </c>
      <c r="H87" s="1862"/>
      <c r="I87" s="1739"/>
      <c r="J87" s="1773"/>
      <c r="K87" s="1778"/>
      <c r="L87" s="1862" t="s">
        <v>308</v>
      </c>
      <c r="M87" s="2169"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"&amp;"Величина необходимой валовой выручки указывается в колонке «Информация» в тыс. руб.В случае дифференциации необходимой валовой выручки по видам тарифов и (или) по срокам действия тарифов информация указывается в отдельных строках."</f>
        <v>Значение в колонке «Вид тарифа» выбирается из перечня видов тарифов в сфере теплоснабжения, предусмотренных законодательством в сфере теплоснабжения.
Даты начала и окончания срока действия тарифов указываются в виде «ДД.ММ.ГГГГ».
Величина необходимой валовой выручки указывается в колонке «Информация» в тыс. руб.В случае дифференциации необходимой валовой выручки по видам тарифов и (или) по срокам действия тарифов информация указывается в отдельных строках.</v>
      </c>
      <c r="N87" s="334"/>
      <c r="O87" s="1624"/>
      <c r="P87" s="1624"/>
      <c r="AH87" s="1631">
        <v>0</v>
      </c>
    </row>
    <row s="1635" customFormat="1" customHeight="1" ht="18.75" hidden="1">
      <c r="A88" s="1780"/>
      <c r="B88" s="1780"/>
      <c r="C88" s="369" t="s">
        <v>1149</v>
      </c>
      <c r="D88" s="2462"/>
      <c r="E88" s="2204"/>
      <c r="F88" s="2383"/>
      <c r="G88" s="2427"/>
      <c r="H88" s="1500"/>
      <c r="I88" s="651" t="s">
        <v>1148</v>
      </c>
      <c r="J88" s="571"/>
      <c r="K88" s="1500"/>
      <c r="L88" s="214"/>
      <c r="M88" s="2170"/>
      <c r="N88" s="334"/>
      <c r="O88" s="1624"/>
      <c r="P88" s="1624"/>
      <c r="AH88" s="1631">
        <v>0</v>
      </c>
    </row>
    <row s="1635" customFormat="1" customHeight="1" ht="0.75" hidden="1">
      <c r="A89" s="1780"/>
      <c r="B89" s="1780"/>
      <c r="C89" s="369" t="s">
        <v>1156</v>
      </c>
      <c r="D89" s="2462"/>
      <c r="E89" s="2204"/>
      <c r="F89" s="2383"/>
      <c r="G89" s="400"/>
      <c r="H89" s="1500"/>
      <c r="I89" s="651"/>
      <c r="J89" s="571"/>
      <c r="K89" s="1500"/>
      <c r="L89" s="214"/>
      <c r="M89" s="2170"/>
      <c r="N89" s="334"/>
      <c r="O89" s="1624"/>
      <c r="P89" s="1624"/>
      <c r="AH89" s="1631">
        <v>0</v>
      </c>
    </row>
    <row s="1635" customFormat="1" customHeight="1" ht="45" hidden="1">
      <c r="A90" s="1780" t="s">
        <v>164</v>
      </c>
      <c r="B90" s="1780" t="s">
        <v>165</v>
      </c>
      <c r="C90" s="369"/>
      <c r="D90" s="2462"/>
      <c r="E90" s="2204"/>
      <c r="F90" s="2383" t="str">
        <f>INDEX(PT_DIFFERENTIATION_VTAR,MATCH(A90,PT_DIFFERENTIATION_VTAR_ID,0))</f>
        <v/>
      </c>
      <c r="G90" s="2427" t="str">
        <f>INDEX(PT_DIFFERENTIATION_NTAR,MATCH(B90,PT_DIFFERENTIATION_NTAR_ID,0))</f>
        <v/>
      </c>
      <c r="H90" s="1862"/>
      <c r="I90" s="1739"/>
      <c r="J90" s="1773"/>
      <c r="K90" s="1778"/>
      <c r="L90" s="1862" t="s">
        <v>308</v>
      </c>
      <c r="M90" s="2171"/>
      <c r="N90" s="334"/>
      <c r="O90" s="1624"/>
      <c r="P90" s="1624"/>
      <c r="AH90" s="1631">
        <v>0</v>
      </c>
    </row>
    <row s="1635" customFormat="1" customHeight="1" ht="18.75" hidden="1">
      <c r="A91" s="1780"/>
      <c r="B91" s="1780"/>
      <c r="C91" s="369" t="s">
        <v>1149</v>
      </c>
      <c r="D91" s="2462"/>
      <c r="E91" s="2204"/>
      <c r="F91" s="2383"/>
      <c r="G91" s="2427"/>
      <c r="H91" s="1500"/>
      <c r="I91" s="651" t="s">
        <v>1148</v>
      </c>
      <c r="J91" s="571"/>
      <c r="K91" s="1500"/>
      <c r="L91" s="214"/>
      <c r="M91" s="1861"/>
      <c r="N91" s="334"/>
      <c r="O91" s="1624"/>
      <c r="P91" s="1624"/>
      <c r="AH91" s="1631">
        <v>0</v>
      </c>
    </row>
    <row s="1635" customFormat="1" customHeight="1" ht="0.75" hidden="1">
      <c r="A92" s="1780"/>
      <c r="B92" s="1780"/>
      <c r="C92" s="369" t="s">
        <v>1156</v>
      </c>
      <c r="D92" s="2462"/>
      <c r="E92" s="2204"/>
      <c r="F92" s="2383"/>
      <c r="G92" s="400"/>
      <c r="H92" s="1500"/>
      <c r="I92" s="651"/>
      <c r="J92" s="571"/>
      <c r="K92" s="1500"/>
      <c r="L92" s="214"/>
      <c r="M92" s="341"/>
      <c r="N92" s="334"/>
      <c r="O92" s="1624"/>
      <c r="P92" s="1624"/>
      <c r="AH92" s="1631">
        <v>0</v>
      </c>
    </row>
    <row s="1635" customFormat="1" customHeight="1" ht="45" hidden="1">
      <c r="A93" s="1780" t="s">
        <v>171</v>
      </c>
      <c r="B93" s="1780" t="s">
        <v>172</v>
      </c>
      <c r="C93" s="369"/>
      <c r="D93" s="2462"/>
      <c r="E93" s="2204"/>
      <c r="F93" s="2383" t="str">
        <f>INDEX(PT_DIFFERENTIATION_VTAR,MATCH(A93,PT_DIFFERENTIATION_VTAR_ID,0))</f>
        <v>Тарифы на теплоноситель, поставляемый теплоснабжающими организациями потребителям, другим теплоснабжающим организациям</v>
      </c>
      <c r="G93" s="2427" t="str">
        <f>INDEX(PT_DIFFERENTIATION_NTAR,MATCH(B93,PT_DIFFERENTIATION_NTAR_ID,0))</f>
        <v/>
      </c>
      <c r="H93" s="1862"/>
      <c r="I93" s="1739"/>
      <c r="J93" s="1773"/>
      <c r="K93" s="1778"/>
      <c r="L93" s="1862" t="s">
        <v>308</v>
      </c>
      <c r="M93" s="341"/>
      <c r="N93" s="334"/>
      <c r="O93" s="1624"/>
      <c r="P93" s="1624"/>
      <c r="AH93" s="1631">
        <v>0</v>
      </c>
    </row>
    <row s="1635" customFormat="1" customHeight="1" ht="18.75" hidden="1">
      <c r="A94" s="1780"/>
      <c r="B94" s="1780"/>
      <c r="C94" s="369" t="s">
        <v>1149</v>
      </c>
      <c r="D94" s="2462"/>
      <c r="E94" s="2204"/>
      <c r="F94" s="2383"/>
      <c r="G94" s="2427"/>
      <c r="H94" s="1500"/>
      <c r="I94" s="651" t="s">
        <v>1148</v>
      </c>
      <c r="J94" s="571"/>
      <c r="K94" s="1500"/>
      <c r="L94" s="214"/>
      <c r="M94" s="341"/>
      <c r="N94" s="334"/>
      <c r="O94" s="1624"/>
      <c r="P94" s="1624"/>
      <c r="AH94" s="1631">
        <v>0</v>
      </c>
    </row>
    <row s="1635" customFormat="1" customHeight="1" ht="0.75" hidden="1">
      <c r="A95" s="1780"/>
      <c r="B95" s="1780"/>
      <c r="C95" s="369" t="s">
        <v>1156</v>
      </c>
      <c r="D95" s="2462"/>
      <c r="E95" s="2204"/>
      <c r="F95" s="2383"/>
      <c r="G95" s="400"/>
      <c r="H95" s="1500"/>
      <c r="I95" s="651"/>
      <c r="J95" s="571"/>
      <c r="K95" s="1500"/>
      <c r="L95" s="214"/>
      <c r="M95" s="341"/>
      <c r="N95" s="334"/>
      <c r="O95" s="1624"/>
      <c r="P95" s="1624"/>
      <c r="AH95" s="1631">
        <v>0</v>
      </c>
    </row>
    <row s="1635" customFormat="1" customHeight="1" ht="45" hidden="1">
      <c r="A96" s="1780" t="s">
        <v>177</v>
      </c>
      <c r="B96" s="1780" t="s">
        <v>178</v>
      </c>
      <c r="C96" s="369"/>
      <c r="D96" s="2462"/>
      <c r="E96" s="2204"/>
      <c r="F96" s="2383" t="str">
        <f>INDEX(PT_DIFFERENTIATION_VTAR,MATCH(A96,PT_DIFFERENTIATION_VTAR_ID,0))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96" s="2427" t="str">
        <f>INDEX(PT_DIFFERENTIATION_NTAR,MATCH(B96,PT_DIFFERENTIATION_NTAR_ID,0))</f>
        <v/>
      </c>
      <c r="H96" s="1862"/>
      <c r="I96" s="1739"/>
      <c r="J96" s="1773"/>
      <c r="K96" s="1778"/>
      <c r="L96" s="1862" t="s">
        <v>308</v>
      </c>
      <c r="M96" s="341"/>
      <c r="N96" s="334"/>
      <c r="O96" s="1624"/>
      <c r="P96" s="1624"/>
      <c r="AH96" s="1631">
        <v>0</v>
      </c>
    </row>
    <row s="1635" customFormat="1" customHeight="1" ht="18.75" hidden="1">
      <c r="A97" s="1780"/>
      <c r="B97" s="1780"/>
      <c r="C97" s="369" t="s">
        <v>1149</v>
      </c>
      <c r="D97" s="2462"/>
      <c r="E97" s="2204"/>
      <c r="F97" s="2383"/>
      <c r="G97" s="2427"/>
      <c r="H97" s="1500"/>
      <c r="I97" s="651" t="s">
        <v>1148</v>
      </c>
      <c r="J97" s="571"/>
      <c r="K97" s="1500"/>
      <c r="L97" s="214"/>
      <c r="M97" s="341"/>
      <c r="N97" s="334"/>
      <c r="O97" s="1624"/>
      <c r="P97" s="1624"/>
      <c r="AH97" s="1631">
        <v>0</v>
      </c>
    </row>
    <row s="1635" customFormat="1" customHeight="1" ht="0.75" hidden="1">
      <c r="A98" s="1780"/>
      <c r="B98" s="1780"/>
      <c r="C98" s="369" t="s">
        <v>1156</v>
      </c>
      <c r="D98" s="2462"/>
      <c r="E98" s="2204"/>
      <c r="F98" s="2383"/>
      <c r="G98" s="400"/>
      <c r="H98" s="1500"/>
      <c r="I98" s="651"/>
      <c r="J98" s="571"/>
      <c r="K98" s="1500"/>
      <c r="L98" s="214"/>
      <c r="M98" s="341"/>
      <c r="N98" s="334"/>
      <c r="O98" s="1624"/>
      <c r="P98" s="1624"/>
      <c r="AH98" s="1631">
        <v>0</v>
      </c>
    </row>
    <row s="1635" customFormat="1" customHeight="1" ht="18.75" hidden="1">
      <c r="A99" s="1780" t="s">
        <v>183</v>
      </c>
      <c r="B99" s="1780" t="s">
        <v>184</v>
      </c>
      <c r="C99" s="369"/>
      <c r="D99" s="2462"/>
      <c r="E99" s="2204"/>
      <c r="F99" s="2383" t="str">
        <f>INDEX(PT_DIFFERENTIATION_VTAR,MATCH(A99,PT_DIFFERENTIATION_VTAR_ID,0))</f>
        <v>Тарифы на услуги по передаче тепловой энергии</v>
      </c>
      <c r="G99" s="2427" t="str">
        <f>INDEX(PT_DIFFERENTIATION_NTAR,MATCH(B99,PT_DIFFERENTIATION_NTAR_ID,0))</f>
        <v/>
      </c>
      <c r="H99" s="1862"/>
      <c r="I99" s="1739"/>
      <c r="J99" s="1773"/>
      <c r="K99" s="1778"/>
      <c r="L99" s="1862" t="s">
        <v>308</v>
      </c>
      <c r="M99" s="341"/>
      <c r="N99" s="334"/>
      <c r="O99" s="1624"/>
      <c r="P99" s="1624"/>
      <c r="AH99" s="1631">
        <v>0</v>
      </c>
    </row>
    <row s="1635" customFormat="1" customHeight="1" ht="18.75" hidden="1">
      <c r="A100" s="1780"/>
      <c r="B100" s="1780"/>
      <c r="C100" s="369" t="s">
        <v>1149</v>
      </c>
      <c r="D100" s="2462"/>
      <c r="E100" s="2204"/>
      <c r="F100" s="2383"/>
      <c r="G100" s="2427"/>
      <c r="H100" s="1500"/>
      <c r="I100" s="651" t="s">
        <v>1148</v>
      </c>
      <c r="J100" s="571"/>
      <c r="K100" s="1500"/>
      <c r="L100" s="214"/>
      <c r="M100" s="341"/>
      <c r="N100" s="334"/>
      <c r="O100" s="1624"/>
      <c r="P100" s="1624"/>
      <c r="AH100" s="1631">
        <v>0</v>
      </c>
    </row>
    <row s="1635" customFormat="1" customHeight="1" ht="0.75" hidden="1">
      <c r="A101" s="1780"/>
      <c r="B101" s="1780"/>
      <c r="C101" s="369" t="s">
        <v>1156</v>
      </c>
      <c r="D101" s="2462"/>
      <c r="E101" s="2204"/>
      <c r="F101" s="2383"/>
      <c r="G101" s="400"/>
      <c r="H101" s="1500"/>
      <c r="I101" s="651"/>
      <c r="J101" s="571"/>
      <c r="K101" s="1500"/>
      <c r="L101" s="214"/>
      <c r="M101" s="341"/>
      <c r="N101" s="334"/>
      <c r="O101" s="1624"/>
      <c r="P101" s="1624"/>
      <c r="AH101" s="1631">
        <v>0</v>
      </c>
    </row>
    <row s="1635" customFormat="1" customHeight="1" ht="18.75" hidden="1">
      <c r="A102" s="1780" t="s">
        <v>189</v>
      </c>
      <c r="B102" s="1780" t="s">
        <v>190</v>
      </c>
      <c r="C102" s="369"/>
      <c r="D102" s="2462"/>
      <c r="E102" s="2204"/>
      <c r="F102" s="2383" t="str">
        <f>INDEX(PT_DIFFERENTIATION_VTAR,MATCH(A102,PT_DIFFERENTIATION_VTAR_ID,0))</f>
        <v>Тарифы на услуги по передаче теплоносителя</v>
      </c>
      <c r="G102" s="2427" t="str">
        <f>INDEX(PT_DIFFERENTIATION_NTAR,MATCH(B102,PT_DIFFERENTIATION_NTAR_ID,0))</f>
        <v/>
      </c>
      <c r="H102" s="1862"/>
      <c r="I102" s="1739"/>
      <c r="J102" s="1773"/>
      <c r="K102" s="1778"/>
      <c r="L102" s="1862" t="s">
        <v>308</v>
      </c>
      <c r="M102" s="341"/>
      <c r="N102" s="334"/>
      <c r="O102" s="1624"/>
      <c r="P102" s="1624"/>
      <c r="AH102" s="1631">
        <v>0</v>
      </c>
    </row>
    <row s="1635" customFormat="1" customHeight="1" ht="18.75" hidden="1">
      <c r="A103" s="1780"/>
      <c r="B103" s="1780"/>
      <c r="C103" s="369" t="s">
        <v>1149</v>
      </c>
      <c r="D103" s="2462"/>
      <c r="E103" s="2204"/>
      <c r="F103" s="2383"/>
      <c r="G103" s="2427"/>
      <c r="H103" s="1500"/>
      <c r="I103" s="651" t="s">
        <v>1148</v>
      </c>
      <c r="J103" s="571"/>
      <c r="K103" s="1500"/>
      <c r="L103" s="214"/>
      <c r="M103" s="341"/>
      <c r="N103" s="334"/>
      <c r="O103" s="1624"/>
      <c r="P103" s="1624"/>
      <c r="AH103" s="1631">
        <v>0</v>
      </c>
    </row>
    <row s="1635" customFormat="1" customHeight="1" ht="0.75" hidden="1">
      <c r="A104" s="1780"/>
      <c r="B104" s="1780"/>
      <c r="C104" s="369" t="s">
        <v>1156</v>
      </c>
      <c r="D104" s="2462"/>
      <c r="E104" s="2204"/>
      <c r="F104" s="2383"/>
      <c r="G104" s="400"/>
      <c r="H104" s="1500"/>
      <c r="I104" s="651"/>
      <c r="J104" s="571"/>
      <c r="K104" s="1500"/>
      <c r="L104" s="214"/>
      <c r="M104" s="341"/>
      <c r="N104" s="334"/>
      <c r="O104" s="1624"/>
      <c r="P104" s="1624"/>
      <c r="AH104" s="1631">
        <v>0</v>
      </c>
    </row>
    <row s="1635" customFormat="1" customHeight="1" ht="18.75" hidden="1">
      <c r="A105" s="1780" t="s">
        <v>195</v>
      </c>
      <c r="B105" s="1780" t="s">
        <v>196</v>
      </c>
      <c r="C105" s="369"/>
      <c r="D105" s="2462"/>
      <c r="E105" s="2204"/>
      <c r="F105" s="2383" t="str">
        <f>INDEX(PT_DIFFERENTIATION_VTAR,MATCH(A105,PT_DIFFERENTIATION_VTAR_ID,0))</f>
        <v>Плата за услуги по поддержанию резервной тепловой мощности при отсутствии потребления тепловой энергии</v>
      </c>
      <c r="G105" s="2427" t="str">
        <f>INDEX(PT_DIFFERENTIATION_NTAR,MATCH(B105,PT_DIFFERENTIATION_NTAR_ID,0))</f>
        <v/>
      </c>
      <c r="H105" s="1862"/>
      <c r="I105" s="1739"/>
      <c r="J105" s="1773"/>
      <c r="K105" s="1778"/>
      <c r="L105" s="1862" t="s">
        <v>308</v>
      </c>
      <c r="M105" s="341"/>
      <c r="N105" s="334"/>
      <c r="O105" s="1624"/>
      <c r="P105" s="1624"/>
      <c r="AH105" s="1631">
        <v>0</v>
      </c>
    </row>
    <row s="1635" customFormat="1" customHeight="1" ht="18.75" hidden="1">
      <c r="A106" s="1780"/>
      <c r="B106" s="1780"/>
      <c r="C106" s="369" t="s">
        <v>1149</v>
      </c>
      <c r="D106" s="2462"/>
      <c r="E106" s="2204"/>
      <c r="F106" s="2383"/>
      <c r="G106" s="2427"/>
      <c r="H106" s="1500"/>
      <c r="I106" s="651" t="s">
        <v>1148</v>
      </c>
      <c r="J106" s="571"/>
      <c r="K106" s="1500"/>
      <c r="L106" s="214"/>
      <c r="M106" s="341"/>
      <c r="N106" s="334"/>
      <c r="O106" s="1624"/>
      <c r="P106" s="1624"/>
      <c r="AH106" s="1631">
        <v>0</v>
      </c>
    </row>
    <row s="1635" customFormat="1" customHeight="1" ht="0.75" hidden="1">
      <c r="A107" s="1780"/>
      <c r="B107" s="1780"/>
      <c r="C107" s="369" t="s">
        <v>1156</v>
      </c>
      <c r="D107" s="2462"/>
      <c r="E107" s="2204"/>
      <c r="F107" s="2383"/>
      <c r="G107" s="400"/>
      <c r="H107" s="1500"/>
      <c r="I107" s="651"/>
      <c r="J107" s="571"/>
      <c r="K107" s="1500"/>
      <c r="L107" s="214"/>
      <c r="M107" s="341"/>
      <c r="N107" s="334"/>
      <c r="O107" s="1624"/>
      <c r="P107" s="1624"/>
      <c r="AH107" s="1631">
        <v>0</v>
      </c>
    </row>
    <row s="1635" customFormat="1" customHeight="1" ht="18.75" hidden="1">
      <c r="A108" s="1780" t="s">
        <v>201</v>
      </c>
      <c r="B108" s="1780" t="s">
        <v>202</v>
      </c>
      <c r="C108" s="369"/>
      <c r="D108" s="2462"/>
      <c r="E108" s="2204"/>
      <c r="F108" s="2383" t="str">
        <f>INDEX(PT_DIFFERENTIATION_VTAR,MATCH(A108,PT_DIFFERENTIATION_VTAR_ID,0))</f>
        <v>Плата за подключение (технологическое присоединение) к системе теплоснабжения</v>
      </c>
      <c r="G108" s="2427" t="str">
        <f>INDEX(PT_DIFFERENTIATION_NTAR,MATCH(B108,PT_DIFFERENTIATION_NTAR_ID,0))</f>
        <v/>
      </c>
      <c r="H108" s="1862"/>
      <c r="I108" s="1739"/>
      <c r="J108" s="1773"/>
      <c r="K108" s="1778"/>
      <c r="L108" s="1862" t="s">
        <v>308</v>
      </c>
      <c r="M108" s="341"/>
      <c r="N108" s="334"/>
      <c r="O108" s="1624"/>
      <c r="P108" s="1624"/>
      <c r="AH108" s="1631">
        <v>0</v>
      </c>
    </row>
    <row s="1635" customFormat="1" customHeight="1" ht="18.75" hidden="1">
      <c r="A109" s="1780"/>
      <c r="B109" s="1780"/>
      <c r="C109" s="369" t="s">
        <v>1149</v>
      </c>
      <c r="D109" s="2462"/>
      <c r="E109" s="2204"/>
      <c r="F109" s="2383"/>
      <c r="G109" s="2427"/>
      <c r="H109" s="1500"/>
      <c r="I109" s="651" t="s">
        <v>1148</v>
      </c>
      <c r="J109" s="571"/>
      <c r="K109" s="1500"/>
      <c r="L109" s="214"/>
      <c r="M109" s="341"/>
      <c r="N109" s="334"/>
      <c r="O109" s="1624"/>
      <c r="P109" s="1624"/>
      <c r="AH109" s="1631">
        <v>0</v>
      </c>
    </row>
    <row s="1635" customFormat="1" customHeight="1" ht="0.75" hidden="1">
      <c r="A110" s="1780"/>
      <c r="B110" s="1780"/>
      <c r="C110" s="369" t="s">
        <v>1156</v>
      </c>
      <c r="D110" s="2462"/>
      <c r="E110" s="2204"/>
      <c r="F110" s="2383"/>
      <c r="G110" s="400"/>
      <c r="H110" s="1500"/>
      <c r="I110" s="651"/>
      <c r="J110" s="571"/>
      <c r="K110" s="1500"/>
      <c r="L110" s="214"/>
      <c r="M110" s="341"/>
      <c r="N110" s="334"/>
      <c r="O110" s="1624"/>
      <c r="P110" s="1624"/>
      <c r="AH110" s="1631">
        <v>0</v>
      </c>
    </row>
    <row s="1635" customFormat="1" customHeight="1" ht="18.75" hidden="1">
      <c r="A111" s="1780" t="s">
        <v>207</v>
      </c>
      <c r="B111" s="1780" t="s">
        <v>208</v>
      </c>
      <c r="C111" s="369"/>
      <c r="D111" s="2462"/>
      <c r="E111" s="2204"/>
      <c r="F111" s="2383" t="str">
        <f>INDEX(PT_DIFFERENTIATION_VTAR,MATCH(A111,PT_DIFFERENTIATION_VTAR_ID,0))</f>
        <v>Плата за подключение (технологическое присоединение) к системе теплоснабжения (индивидуальная)</v>
      </c>
      <c r="G111" s="2427" t="str">
        <f>INDEX(PT_DIFFERENTIATION_NTAR,MATCH(B111,PT_DIFFERENTIATION_NTAR_ID,0))</f>
        <v/>
      </c>
      <c r="H111" s="1989"/>
      <c r="I111" s="1739"/>
      <c r="J111" s="1773"/>
      <c r="K111" s="1778"/>
      <c r="L111" s="1989" t="s">
        <v>308</v>
      </c>
      <c r="M111" s="341"/>
      <c r="N111" s="334"/>
      <c r="O111" s="1624"/>
      <c r="P111" s="1624"/>
      <c r="AH111" s="1631">
        <v>0</v>
      </c>
    </row>
    <row s="1635" customFormat="1" customHeight="1" ht="18.75" hidden="1">
      <c r="A112" s="1780"/>
      <c r="B112" s="1780"/>
      <c r="C112" s="369" t="s">
        <v>1149</v>
      </c>
      <c r="D112" s="2462"/>
      <c r="E112" s="2204"/>
      <c r="F112" s="2383"/>
      <c r="G112" s="2427"/>
      <c r="H112" s="1500"/>
      <c r="I112" s="651" t="s">
        <v>1148</v>
      </c>
      <c r="J112" s="571"/>
      <c r="K112" s="1500"/>
      <c r="L112" s="214"/>
      <c r="M112" s="341"/>
      <c r="N112" s="334"/>
      <c r="O112" s="1624"/>
      <c r="P112" s="1624"/>
      <c r="AH112" s="1631">
        <v>0</v>
      </c>
    </row>
    <row s="1635" customFormat="1" customHeight="1" ht="0.75" hidden="1">
      <c r="A113" s="1780"/>
      <c r="B113" s="1780"/>
      <c r="C113" s="369" t="s">
        <v>1156</v>
      </c>
      <c r="D113" s="2462"/>
      <c r="E113" s="2204"/>
      <c r="F113" s="2383"/>
      <c r="G113" s="400"/>
      <c r="H113" s="1500"/>
      <c r="I113" s="651"/>
      <c r="J113" s="571"/>
      <c r="K113" s="1500"/>
      <c r="L113" s="214"/>
      <c r="M113" s="341"/>
      <c r="N113" s="334"/>
      <c r="O113" s="1624"/>
      <c r="P113" s="1624"/>
      <c r="AH113" s="1631">
        <v>0</v>
      </c>
    </row>
    <row s="1635" customFormat="1" customHeight="1" ht="18.75" hidden="1">
      <c r="A114" s="1780" t="s">
        <v>227</v>
      </c>
      <c r="B114" s="1780" t="s">
        <v>228</v>
      </c>
      <c r="C114" s="369"/>
      <c r="D114" s="2462"/>
      <c r="E114" s="2204"/>
      <c r="F114" s="2383" t="str">
        <f>INDEX(PT_DIFFERENTIATION_VTAR,MATCH(A114,PT_DIFFERENTIATION_VTAR_ID,0))</f>
        <v>Тариф на питьевую воду (питьевое водоснабжение)</v>
      </c>
      <c r="G114" s="2427" t="str">
        <f>INDEX(PT_DIFFERENTIATION_NTAR,MATCH(B114,PT_DIFFERENTIATION_NTAR_ID,0))</f>
        <v/>
      </c>
      <c r="H114" s="1862"/>
      <c r="I114" s="1739"/>
      <c r="J114" s="1773"/>
      <c r="K114" s="1778"/>
      <c r="L114" s="1862" t="s">
        <v>308</v>
      </c>
      <c r="M114" s="341"/>
      <c r="N114" s="334"/>
      <c r="O114" s="1624"/>
      <c r="P114" s="1624"/>
      <c r="AH114" s="1631">
        <v>0</v>
      </c>
    </row>
    <row s="1635" customFormat="1" customHeight="1" ht="18.75" hidden="1">
      <c r="A115" s="1780"/>
      <c r="B115" s="1780"/>
      <c r="C115" s="369" t="s">
        <v>1149</v>
      </c>
      <c r="D115" s="2462"/>
      <c r="E115" s="2204"/>
      <c r="F115" s="2383"/>
      <c r="G115" s="2427"/>
      <c r="H115" s="1500"/>
      <c r="I115" s="651" t="s">
        <v>1148</v>
      </c>
      <c r="J115" s="571"/>
      <c r="K115" s="1500"/>
      <c r="L115" s="214"/>
      <c r="M115" s="341"/>
      <c r="N115" s="334"/>
      <c r="O115" s="1624"/>
      <c r="P115" s="1624"/>
      <c r="AH115" s="1631">
        <v>0</v>
      </c>
    </row>
    <row s="1635" customFormat="1" customHeight="1" ht="0.75" hidden="1">
      <c r="A116" s="1780"/>
      <c r="B116" s="1780"/>
      <c r="C116" s="369" t="s">
        <v>1156</v>
      </c>
      <c r="D116" s="2462"/>
      <c r="E116" s="2204"/>
      <c r="F116" s="2383"/>
      <c r="G116" s="400"/>
      <c r="H116" s="1500"/>
      <c r="I116" s="651"/>
      <c r="J116" s="571"/>
      <c r="K116" s="1500"/>
      <c r="L116" s="214"/>
      <c r="M116" s="341"/>
      <c r="N116" s="334"/>
      <c r="O116" s="1624"/>
      <c r="P116" s="1624"/>
      <c r="AH116" s="1631">
        <v>0</v>
      </c>
    </row>
    <row s="1635" customFormat="1" customHeight="1" ht="18.75" hidden="1">
      <c r="A117" s="1780" t="s">
        <v>232</v>
      </c>
      <c r="B117" s="1780" t="s">
        <v>233</v>
      </c>
      <c r="C117" s="369"/>
      <c r="D117" s="2462"/>
      <c r="E117" s="2204"/>
      <c r="F117" s="2383" t="str">
        <f>INDEX(PT_DIFFERENTIATION_VTAR,MATCH(A117,PT_DIFFERENTIATION_VTAR_ID,0))</f>
        <v>Тариф на техническую воду</v>
      </c>
      <c r="G117" s="2427" t="str">
        <f>INDEX(PT_DIFFERENTIATION_NTAR,MATCH(B117,PT_DIFFERENTIATION_NTAR_ID,0))</f>
        <v/>
      </c>
      <c r="H117" s="1862"/>
      <c r="I117" s="1739"/>
      <c r="J117" s="1773"/>
      <c r="K117" s="1778"/>
      <c r="L117" s="1862" t="s">
        <v>308</v>
      </c>
      <c r="M117" s="341"/>
      <c r="N117" s="334"/>
      <c r="O117" s="1624"/>
      <c r="P117" s="1624"/>
      <c r="AH117" s="1631">
        <v>0</v>
      </c>
    </row>
    <row s="1635" customFormat="1" customHeight="1" ht="18.75" hidden="1">
      <c r="A118" s="1780"/>
      <c r="B118" s="1780"/>
      <c r="C118" s="369" t="s">
        <v>1149</v>
      </c>
      <c r="D118" s="2462"/>
      <c r="E118" s="2204"/>
      <c r="F118" s="2383"/>
      <c r="G118" s="2427"/>
      <c r="H118" s="1500"/>
      <c r="I118" s="651" t="s">
        <v>1148</v>
      </c>
      <c r="J118" s="571"/>
      <c r="K118" s="1500"/>
      <c r="L118" s="214"/>
      <c r="M118" s="341"/>
      <c r="N118" s="334"/>
      <c r="O118" s="1624"/>
      <c r="P118" s="1624"/>
      <c r="AH118" s="1631">
        <v>0</v>
      </c>
    </row>
    <row s="1635" customFormat="1" customHeight="1" ht="0.75" hidden="1">
      <c r="A119" s="1780"/>
      <c r="B119" s="1780"/>
      <c r="C119" s="369" t="s">
        <v>1156</v>
      </c>
      <c r="D119" s="2462"/>
      <c r="E119" s="2204"/>
      <c r="F119" s="2383"/>
      <c r="G119" s="400"/>
      <c r="H119" s="1500"/>
      <c r="I119" s="651"/>
      <c r="J119" s="571"/>
      <c r="K119" s="1500"/>
      <c r="L119" s="214"/>
      <c r="M119" s="341"/>
      <c r="N119" s="334"/>
      <c r="O119" s="1624"/>
      <c r="P119" s="1624"/>
      <c r="AH119" s="1631">
        <v>0</v>
      </c>
    </row>
    <row s="1635" customFormat="1" customHeight="1" ht="18.75" hidden="1">
      <c r="A120" s="1780" t="s">
        <v>237</v>
      </c>
      <c r="B120" s="1780" t="s">
        <v>238</v>
      </c>
      <c r="C120" s="369"/>
      <c r="D120" s="2462"/>
      <c r="E120" s="2204"/>
      <c r="F120" s="2383" t="str">
        <f>INDEX(PT_DIFFERENTIATION_VTAR,MATCH(A120,PT_DIFFERENTIATION_VTAR_ID,0))</f>
        <v>Тариф на транспортировку воды</v>
      </c>
      <c r="G120" s="2427" t="str">
        <f>INDEX(PT_DIFFERENTIATION_NTAR,MATCH(B120,PT_DIFFERENTIATION_NTAR_ID,0))</f>
        <v/>
      </c>
      <c r="H120" s="1862"/>
      <c r="I120" s="1739"/>
      <c r="J120" s="1773"/>
      <c r="K120" s="1778"/>
      <c r="L120" s="1862" t="s">
        <v>308</v>
      </c>
      <c r="M120" s="341"/>
      <c r="N120" s="334"/>
      <c r="O120" s="1624"/>
      <c r="P120" s="1624"/>
      <c r="AH120" s="1631">
        <v>0</v>
      </c>
    </row>
    <row s="1635" customFormat="1" customHeight="1" ht="18.75" hidden="1">
      <c r="A121" s="1780"/>
      <c r="B121" s="1780"/>
      <c r="C121" s="369" t="s">
        <v>1149</v>
      </c>
      <c r="D121" s="2462"/>
      <c r="E121" s="2204"/>
      <c r="F121" s="2383"/>
      <c r="G121" s="2427"/>
      <c r="H121" s="1500"/>
      <c r="I121" s="651" t="s">
        <v>1148</v>
      </c>
      <c r="J121" s="571"/>
      <c r="K121" s="1500"/>
      <c r="L121" s="214"/>
      <c r="M121" s="341"/>
      <c r="N121" s="334"/>
      <c r="O121" s="1624"/>
      <c r="P121" s="1624"/>
      <c r="AH121" s="1631">
        <v>0</v>
      </c>
    </row>
    <row s="1635" customFormat="1" customHeight="1" ht="0.75" hidden="1">
      <c r="A122" s="1780"/>
      <c r="B122" s="1780"/>
      <c r="C122" s="369" t="s">
        <v>1156</v>
      </c>
      <c r="D122" s="2462"/>
      <c r="E122" s="2204"/>
      <c r="F122" s="2383"/>
      <c r="G122" s="400"/>
      <c r="H122" s="1500"/>
      <c r="I122" s="651"/>
      <c r="J122" s="571"/>
      <c r="K122" s="1500"/>
      <c r="L122" s="214"/>
      <c r="M122" s="341"/>
      <c r="N122" s="334"/>
      <c r="O122" s="1624"/>
      <c r="P122" s="1624"/>
      <c r="AH122" s="1631">
        <v>0</v>
      </c>
    </row>
    <row s="1635" customFormat="1" customHeight="1" ht="18.75" hidden="1">
      <c r="A123" s="1780" t="s">
        <v>242</v>
      </c>
      <c r="B123" s="1780" t="s">
        <v>243</v>
      </c>
      <c r="C123" s="369"/>
      <c r="D123" s="2462"/>
      <c r="E123" s="2204"/>
      <c r="F123" s="2383" t="str">
        <f>INDEX(PT_DIFFERENTIATION_VTAR,MATCH(A123,PT_DIFFERENTIATION_VTAR_ID,0))</f>
        <v>Тариф на подвоз воды</v>
      </c>
      <c r="G123" s="2427" t="str">
        <f>INDEX(PT_DIFFERENTIATION_NTAR,MATCH(B123,PT_DIFFERENTIATION_NTAR_ID,0))</f>
        <v/>
      </c>
      <c r="H123" s="1862"/>
      <c r="I123" s="1739"/>
      <c r="J123" s="1773"/>
      <c r="K123" s="1778"/>
      <c r="L123" s="1862" t="s">
        <v>308</v>
      </c>
      <c r="M123" s="341"/>
      <c r="N123" s="334"/>
      <c r="O123" s="1624"/>
      <c r="P123" s="1624"/>
      <c r="AH123" s="1631">
        <v>0</v>
      </c>
    </row>
    <row s="1635" customFormat="1" customHeight="1" ht="18.75" hidden="1">
      <c r="A124" s="1780"/>
      <c r="B124" s="1780"/>
      <c r="C124" s="369" t="s">
        <v>1149</v>
      </c>
      <c r="D124" s="2462"/>
      <c r="E124" s="2204"/>
      <c r="F124" s="2383"/>
      <c r="G124" s="2427"/>
      <c r="H124" s="1500"/>
      <c r="I124" s="651" t="s">
        <v>1148</v>
      </c>
      <c r="J124" s="571"/>
      <c r="K124" s="1500"/>
      <c r="L124" s="214"/>
      <c r="M124" s="341"/>
      <c r="N124" s="334"/>
      <c r="O124" s="1624"/>
      <c r="P124" s="1624"/>
      <c r="AH124" s="1631">
        <v>0</v>
      </c>
    </row>
    <row s="1635" customFormat="1" customHeight="1" ht="0.75" hidden="1">
      <c r="A125" s="1780"/>
      <c r="B125" s="1780"/>
      <c r="C125" s="369" t="s">
        <v>1156</v>
      </c>
      <c r="D125" s="2462"/>
      <c r="E125" s="2204"/>
      <c r="F125" s="2383"/>
      <c r="G125" s="400"/>
      <c r="H125" s="1500"/>
      <c r="I125" s="651"/>
      <c r="J125" s="571"/>
      <c r="K125" s="1500"/>
      <c r="L125" s="214"/>
      <c r="M125" s="341"/>
      <c r="N125" s="334"/>
      <c r="O125" s="1624"/>
      <c r="P125" s="1624"/>
      <c r="AH125" s="1631">
        <v>0</v>
      </c>
    </row>
    <row s="1635" customFormat="1" customHeight="1" ht="18.75" hidden="1">
      <c r="A126" s="1780" t="s">
        <v>247</v>
      </c>
      <c r="B126" s="1780" t="s">
        <v>248</v>
      </c>
      <c r="C126" s="369"/>
      <c r="D126" s="2462"/>
      <c r="E126" s="2204"/>
      <c r="F126" s="2383" t="str">
        <f>INDEX(PT_DIFFERENTIATION_VTAR,MATCH(A126,PT_DIFFERENTIATION_VTAR_ID,0))</f>
        <v>Тариф на подключение (технологическое присоединение) к централизованной системе холодного водоснабжения</v>
      </c>
      <c r="G126" s="2427" t="str">
        <f>INDEX(PT_DIFFERENTIATION_NTAR,MATCH(B126,PT_DIFFERENTIATION_NTAR_ID,0))</f>
        <v/>
      </c>
      <c r="H126" s="1862"/>
      <c r="I126" s="1739"/>
      <c r="J126" s="1773"/>
      <c r="K126" s="1778"/>
      <c r="L126" s="1862" t="s">
        <v>308</v>
      </c>
      <c r="M126" s="341"/>
      <c r="N126" s="334"/>
      <c r="O126" s="1624"/>
      <c r="P126" s="1624"/>
      <c r="AH126" s="1631">
        <v>0</v>
      </c>
    </row>
    <row s="1635" customFormat="1" customHeight="1" ht="18.75" hidden="1">
      <c r="A127" s="1780"/>
      <c r="B127" s="1780"/>
      <c r="C127" s="369" t="s">
        <v>1149</v>
      </c>
      <c r="D127" s="2462"/>
      <c r="E127" s="2204"/>
      <c r="F127" s="2383"/>
      <c r="G127" s="2427"/>
      <c r="H127" s="1500"/>
      <c r="I127" s="651" t="s">
        <v>1148</v>
      </c>
      <c r="J127" s="571"/>
      <c r="K127" s="1500"/>
      <c r="L127" s="214"/>
      <c r="M127" s="341"/>
      <c r="N127" s="334"/>
      <c r="O127" s="1624"/>
      <c r="P127" s="1624"/>
      <c r="AH127" s="1631">
        <v>0</v>
      </c>
    </row>
    <row s="1635" customFormat="1" customHeight="1" ht="0.75" hidden="1">
      <c r="A128" s="1780"/>
      <c r="B128" s="1780"/>
      <c r="C128" s="369" t="s">
        <v>1156</v>
      </c>
      <c r="D128" s="2462"/>
      <c r="E128" s="2204"/>
      <c r="F128" s="2383"/>
      <c r="G128" s="400"/>
      <c r="H128" s="1500"/>
      <c r="I128" s="651"/>
      <c r="J128" s="571"/>
      <c r="K128" s="1500"/>
      <c r="L128" s="214"/>
      <c r="M128" s="341"/>
      <c r="N128" s="334"/>
      <c r="O128" s="1624"/>
      <c r="P128" s="1624"/>
      <c r="AH128" s="1631">
        <v>0</v>
      </c>
    </row>
    <row s="1635" customFormat="1" customHeight="1" ht="18.75" hidden="1">
      <c r="A129" s="1780" t="s">
        <v>252</v>
      </c>
      <c r="B129" s="1780" t="s">
        <v>253</v>
      </c>
      <c r="C129" s="369"/>
      <c r="D129" s="2462"/>
      <c r="E129" s="2204"/>
      <c r="F129" s="2383" t="str">
        <f>INDEX(PT_DIFFERENTIATION_VTAR,MATCH(A129,PT_DIFFERENTIATION_VTAR_ID,0))</f>
        <v>Тариф на горячую воду (горячее водоснабжение)</v>
      </c>
      <c r="G129" s="2427" t="str">
        <f>INDEX(PT_DIFFERENTIATION_NTAR,MATCH(B129,PT_DIFFERENTIATION_NTAR_ID,0))</f>
        <v/>
      </c>
      <c r="H129" s="1862"/>
      <c r="I129" s="1739"/>
      <c r="J129" s="1773"/>
      <c r="K129" s="1778"/>
      <c r="L129" s="1862" t="s">
        <v>308</v>
      </c>
      <c r="M129" s="341"/>
      <c r="N129" s="334"/>
      <c r="O129" s="1624"/>
      <c r="P129" s="1624"/>
      <c r="AH129" s="1631">
        <v>0</v>
      </c>
    </row>
    <row s="1635" customFormat="1" customHeight="1" ht="18.75" hidden="1">
      <c r="A130" s="1780"/>
      <c r="B130" s="1780"/>
      <c r="C130" s="369" t="s">
        <v>1149</v>
      </c>
      <c r="D130" s="2462"/>
      <c r="E130" s="2204"/>
      <c r="F130" s="2383"/>
      <c r="G130" s="2427"/>
      <c r="H130" s="1500"/>
      <c r="I130" s="651" t="s">
        <v>1148</v>
      </c>
      <c r="J130" s="571"/>
      <c r="K130" s="1500"/>
      <c r="L130" s="214"/>
      <c r="M130" s="341"/>
      <c r="N130" s="334"/>
      <c r="O130" s="1624"/>
      <c r="P130" s="1624"/>
      <c r="AH130" s="1631">
        <v>0</v>
      </c>
    </row>
    <row s="1635" customFormat="1" customHeight="1" ht="0.75" hidden="1">
      <c r="A131" s="1780"/>
      <c r="B131" s="1780"/>
      <c r="C131" s="369" t="s">
        <v>1156</v>
      </c>
      <c r="D131" s="2462"/>
      <c r="E131" s="2204"/>
      <c r="F131" s="2383"/>
      <c r="G131" s="400"/>
      <c r="H131" s="1500"/>
      <c r="I131" s="651"/>
      <c r="J131" s="571"/>
      <c r="K131" s="1500"/>
      <c r="L131" s="214"/>
      <c r="M131" s="341"/>
      <c r="N131" s="334"/>
      <c r="O131" s="1624"/>
      <c r="P131" s="1624"/>
      <c r="AH131" s="1631">
        <v>0</v>
      </c>
    </row>
    <row s="1635" customFormat="1" customHeight="1" ht="18.75" hidden="1">
      <c r="A132" s="1780" t="s">
        <v>257</v>
      </c>
      <c r="B132" s="1780" t="s">
        <v>258</v>
      </c>
      <c r="C132" s="369"/>
      <c r="D132" s="2462"/>
      <c r="E132" s="2204"/>
      <c r="F132" s="2383" t="str">
        <f>INDEX(PT_DIFFERENTIATION_VTAR,MATCH(A132,PT_DIFFERENTIATION_VTAR_ID,0))</f>
        <v>Тариф на транспортировку горячей воды</v>
      </c>
      <c r="G132" s="2427" t="str">
        <f>INDEX(PT_DIFFERENTIATION_NTAR,MATCH(B132,PT_DIFFERENTIATION_NTAR_ID,0))</f>
        <v/>
      </c>
      <c r="H132" s="1862"/>
      <c r="I132" s="1739"/>
      <c r="J132" s="1773"/>
      <c r="K132" s="1778"/>
      <c r="L132" s="1862" t="s">
        <v>308</v>
      </c>
      <c r="M132" s="341"/>
      <c r="N132" s="334"/>
      <c r="O132" s="1624"/>
      <c r="P132" s="1624"/>
      <c r="AH132" s="1631">
        <v>0</v>
      </c>
    </row>
    <row s="1635" customFormat="1" customHeight="1" ht="18.75" hidden="1">
      <c r="A133" s="1780"/>
      <c r="B133" s="1780"/>
      <c r="C133" s="369" t="s">
        <v>1149</v>
      </c>
      <c r="D133" s="2462"/>
      <c r="E133" s="2204"/>
      <c r="F133" s="2383"/>
      <c r="G133" s="2427"/>
      <c r="H133" s="1500"/>
      <c r="I133" s="651" t="s">
        <v>1148</v>
      </c>
      <c r="J133" s="571"/>
      <c r="K133" s="1500"/>
      <c r="L133" s="214"/>
      <c r="M133" s="341"/>
      <c r="N133" s="334"/>
      <c r="O133" s="1624"/>
      <c r="P133" s="1624"/>
      <c r="AH133" s="1631">
        <v>0</v>
      </c>
    </row>
    <row s="1635" customFormat="1" customHeight="1" ht="0.75" hidden="1">
      <c r="A134" s="1780"/>
      <c r="B134" s="1780"/>
      <c r="C134" s="369" t="s">
        <v>1156</v>
      </c>
      <c r="D134" s="2462"/>
      <c r="E134" s="2204"/>
      <c r="F134" s="2383"/>
      <c r="G134" s="400"/>
      <c r="H134" s="1500"/>
      <c r="I134" s="651"/>
      <c r="J134" s="571"/>
      <c r="K134" s="1500"/>
      <c r="L134" s="214"/>
      <c r="M134" s="341"/>
      <c r="N134" s="334"/>
      <c r="O134" s="1624"/>
      <c r="P134" s="1624"/>
      <c r="AH134" s="1631">
        <v>0</v>
      </c>
    </row>
    <row s="1635" customFormat="1" customHeight="1" ht="18.75" hidden="1">
      <c r="A135" s="1780" t="s">
        <v>262</v>
      </c>
      <c r="B135" s="1780" t="s">
        <v>263</v>
      </c>
      <c r="C135" s="369"/>
      <c r="D135" s="2462"/>
      <c r="E135" s="2204"/>
      <c r="F135" s="2383" t="str">
        <f>INDEX(PT_DIFFERENTIATION_VTAR,MATCH(A135,PT_DIFFERENTIATION_VTAR_ID,0))</f>
        <v>Тариф на подключение (технологическое присоединение) к централизованной системе горячего водоснабжения</v>
      </c>
      <c r="G135" s="2427" t="str">
        <f>INDEX(PT_DIFFERENTIATION_NTAR,MATCH(B135,PT_DIFFERENTIATION_NTAR_ID,0))</f>
        <v/>
      </c>
      <c r="H135" s="1862"/>
      <c r="I135" s="1739"/>
      <c r="J135" s="1773"/>
      <c r="K135" s="1778"/>
      <c r="L135" s="1862" t="s">
        <v>308</v>
      </c>
      <c r="M135" s="341"/>
      <c r="N135" s="334"/>
      <c r="O135" s="1624"/>
      <c r="P135" s="1624"/>
      <c r="AH135" s="1631">
        <v>0</v>
      </c>
    </row>
    <row s="1635" customFormat="1" customHeight="1" ht="18.75" hidden="1">
      <c r="A136" s="1780"/>
      <c r="B136" s="1780"/>
      <c r="C136" s="369" t="s">
        <v>1149</v>
      </c>
      <c r="D136" s="2462"/>
      <c r="E136" s="2204"/>
      <c r="F136" s="2383"/>
      <c r="G136" s="2427"/>
      <c r="H136" s="1500"/>
      <c r="I136" s="651" t="s">
        <v>1148</v>
      </c>
      <c r="J136" s="571"/>
      <c r="K136" s="1500"/>
      <c r="L136" s="214"/>
      <c r="M136" s="341"/>
      <c r="N136" s="334"/>
      <c r="O136" s="1624"/>
      <c r="P136" s="1624"/>
      <c r="AH136" s="1631">
        <v>0</v>
      </c>
    </row>
    <row s="1635" customFormat="1" customHeight="1" ht="0.75" hidden="1">
      <c r="A137" s="1780"/>
      <c r="B137" s="1780"/>
      <c r="C137" s="369" t="s">
        <v>1156</v>
      </c>
      <c r="D137" s="2462"/>
      <c r="E137" s="2204"/>
      <c r="F137" s="2383"/>
      <c r="G137" s="400"/>
      <c r="H137" s="1500"/>
      <c r="I137" s="651"/>
      <c r="J137" s="571"/>
      <c r="K137" s="1500"/>
      <c r="L137" s="214"/>
      <c r="M137" s="341"/>
      <c r="N137" s="334"/>
      <c r="O137" s="1624"/>
      <c r="P137" s="1624"/>
      <c r="AH137" s="1631">
        <v>0</v>
      </c>
    </row>
    <row s="1635" customFormat="1" customHeight="1" ht="18.75" hidden="1">
      <c r="A138" s="1780" t="s">
        <v>267</v>
      </c>
      <c r="B138" s="1780" t="s">
        <v>268</v>
      </c>
      <c r="C138" s="369"/>
      <c r="D138" s="2462"/>
      <c r="E138" s="2204"/>
      <c r="F138" s="2383" t="str">
        <f>INDEX(PT_DIFFERENTIATION_VTAR,MATCH(A138,PT_DIFFERENTIATION_VTAR_ID,0))</f>
        <v>Тариф на водоотведение</v>
      </c>
      <c r="G138" s="2427" t="str">
        <f>INDEX(PT_DIFFERENTIATION_NTAR,MATCH(B138,PT_DIFFERENTIATION_NTAR_ID,0))</f>
        <v/>
      </c>
      <c r="H138" s="1862"/>
      <c r="I138" s="1739"/>
      <c r="J138" s="1773"/>
      <c r="K138" s="1778"/>
      <c r="L138" s="1862" t="s">
        <v>308</v>
      </c>
      <c r="M138" s="341"/>
      <c r="N138" s="334"/>
      <c r="O138" s="1624"/>
      <c r="P138" s="1624"/>
      <c r="AH138" s="1631">
        <v>0</v>
      </c>
    </row>
    <row s="1635" customFormat="1" customHeight="1" ht="18.75" hidden="1">
      <c r="A139" s="1780"/>
      <c r="B139" s="1780"/>
      <c r="C139" s="369" t="s">
        <v>1149</v>
      </c>
      <c r="D139" s="2462"/>
      <c r="E139" s="2204"/>
      <c r="F139" s="2383"/>
      <c r="G139" s="2427"/>
      <c r="H139" s="1500"/>
      <c r="I139" s="651" t="s">
        <v>1148</v>
      </c>
      <c r="J139" s="571"/>
      <c r="K139" s="1500"/>
      <c r="L139" s="214"/>
      <c r="M139" s="341"/>
      <c r="N139" s="334"/>
      <c r="O139" s="1624"/>
      <c r="P139" s="1624"/>
      <c r="AH139" s="1631">
        <v>0</v>
      </c>
    </row>
    <row s="1635" customFormat="1" customHeight="1" ht="0.75" hidden="1">
      <c r="A140" s="1780"/>
      <c r="B140" s="1780"/>
      <c r="C140" s="369" t="s">
        <v>1156</v>
      </c>
      <c r="D140" s="2462"/>
      <c r="E140" s="2204"/>
      <c r="F140" s="2383"/>
      <c r="G140" s="400"/>
      <c r="H140" s="1500"/>
      <c r="I140" s="651"/>
      <c r="J140" s="571"/>
      <c r="K140" s="1500"/>
      <c r="L140" s="214"/>
      <c r="M140" s="341"/>
      <c r="N140" s="334"/>
      <c r="O140" s="1624"/>
      <c r="P140" s="1624"/>
      <c r="AH140" s="1631">
        <v>0</v>
      </c>
    </row>
    <row s="1635" customFormat="1" customHeight="1" ht="18.75" hidden="1">
      <c r="A141" s="1780" t="s">
        <v>272</v>
      </c>
      <c r="B141" s="1780" t="s">
        <v>273</v>
      </c>
      <c r="C141" s="369"/>
      <c r="D141" s="2462"/>
      <c r="E141" s="2204"/>
      <c r="F141" s="2383" t="str">
        <f>INDEX(PT_DIFFERENTIATION_VTAR,MATCH(A141,PT_DIFFERENTIATION_VTAR_ID,0))</f>
        <v>Тариф на транспортировку сточных вод</v>
      </c>
      <c r="G141" s="2427" t="str">
        <f>INDEX(PT_DIFFERENTIATION_NTAR,MATCH(B141,PT_DIFFERENTIATION_NTAR_ID,0))</f>
        <v/>
      </c>
      <c r="H141" s="1862"/>
      <c r="I141" s="1739"/>
      <c r="J141" s="1773"/>
      <c r="K141" s="1778"/>
      <c r="L141" s="1862" t="s">
        <v>308</v>
      </c>
      <c r="M141" s="341"/>
      <c r="N141" s="334"/>
      <c r="O141" s="1624"/>
      <c r="P141" s="1624"/>
      <c r="AH141" s="1631">
        <v>0</v>
      </c>
    </row>
    <row s="1635" customFormat="1" customHeight="1" ht="18.75" hidden="1">
      <c r="A142" s="1780"/>
      <c r="B142" s="1780"/>
      <c r="C142" s="369" t="s">
        <v>1149</v>
      </c>
      <c r="D142" s="2462"/>
      <c r="E142" s="2204"/>
      <c r="F142" s="2383"/>
      <c r="G142" s="2427"/>
      <c r="H142" s="1500"/>
      <c r="I142" s="651" t="s">
        <v>1148</v>
      </c>
      <c r="J142" s="571"/>
      <c r="K142" s="1500"/>
      <c r="L142" s="214"/>
      <c r="M142" s="341"/>
      <c r="N142" s="334"/>
      <c r="O142" s="1624"/>
      <c r="P142" s="1624"/>
      <c r="AH142" s="1631">
        <v>0</v>
      </c>
    </row>
    <row s="1635" customFormat="1" customHeight="1" ht="0.75" hidden="1">
      <c r="A143" s="1780"/>
      <c r="B143" s="1780"/>
      <c r="C143" s="369" t="s">
        <v>1156</v>
      </c>
      <c r="D143" s="2462"/>
      <c r="E143" s="2204"/>
      <c r="F143" s="2383"/>
      <c r="G143" s="400"/>
      <c r="H143" s="1500"/>
      <c r="I143" s="651"/>
      <c r="J143" s="571"/>
      <c r="K143" s="1500"/>
      <c r="L143" s="214"/>
      <c r="M143" s="341"/>
      <c r="N143" s="334"/>
      <c r="O143" s="1624"/>
      <c r="P143" s="1624"/>
      <c r="AH143" s="1631">
        <v>0</v>
      </c>
    </row>
    <row s="1635" customFormat="1" customHeight="1" ht="18.75" hidden="1">
      <c r="A144" s="1780" t="s">
        <v>277</v>
      </c>
      <c r="B144" s="1780" t="s">
        <v>278</v>
      </c>
      <c r="C144" s="369"/>
      <c r="D144" s="2462"/>
      <c r="E144" s="2204"/>
      <c r="F144" s="2383" t="str">
        <f>INDEX(PT_DIFFERENTIATION_VTAR,MATCH(A144,PT_DIFFERENTIATION_VTAR_ID,0))</f>
        <v>Тариф на подключение (технологическое присоединение) к централизованной системе водоотведения</v>
      </c>
      <c r="G144" s="2427" t="str">
        <f>INDEX(PT_DIFFERENTIATION_NTAR,MATCH(B144,PT_DIFFERENTIATION_NTAR_ID,0))</f>
        <v/>
      </c>
      <c r="H144" s="1862"/>
      <c r="I144" s="1739"/>
      <c r="J144" s="1773"/>
      <c r="K144" s="1778"/>
      <c r="L144" s="1862" t="s">
        <v>308</v>
      </c>
      <c r="M144" s="341"/>
      <c r="N144" s="334"/>
      <c r="O144" s="1624"/>
      <c r="P144" s="1624"/>
      <c r="AH144" s="1631">
        <v>0</v>
      </c>
    </row>
    <row s="1635" customFormat="1" customHeight="1" ht="18.75" hidden="1">
      <c r="A145" s="1780"/>
      <c r="B145" s="1780"/>
      <c r="C145" s="369" t="s">
        <v>1149</v>
      </c>
      <c r="D145" s="2462"/>
      <c r="E145" s="2204"/>
      <c r="F145" s="2383"/>
      <c r="G145" s="2427"/>
      <c r="H145" s="1500"/>
      <c r="I145" s="651" t="s">
        <v>1148</v>
      </c>
      <c r="J145" s="571"/>
      <c r="K145" s="1500"/>
      <c r="L145" s="214"/>
      <c r="M145" s="341"/>
      <c r="N145" s="334"/>
      <c r="O145" s="1624"/>
      <c r="P145" s="1624"/>
      <c r="AH145" s="1631">
        <v>0</v>
      </c>
    </row>
    <row s="1635" customFormat="1" customHeight="1" ht="1.05">
      <c r="A146" s="1780"/>
      <c r="B146" s="1780"/>
      <c r="C146" s="369" t="s">
        <v>1156</v>
      </c>
      <c r="D146" s="2462"/>
      <c r="E146" s="2204"/>
      <c r="F146" s="2383"/>
      <c r="G146" s="400"/>
      <c r="H146" s="1500"/>
      <c r="I146" s="651"/>
      <c r="J146" s="571"/>
      <c r="K146" s="1500"/>
      <c r="L146" s="214"/>
      <c r="M146" s="341"/>
      <c r="N146" s="334"/>
      <c r="O146" s="1624"/>
      <c r="P146" s="1624"/>
      <c r="AH146" s="1631">
        <v>1</v>
      </c>
    </row>
    <row customHeight="1" ht="19.95">
      <c r="A147" s="1780"/>
      <c r="B147" s="1780"/>
      <c r="D147" s="376"/>
      <c r="E147" s="147" t="s">
        <v>91</v>
      </c>
      <c r="F147" s="2460" t="str">
        <f>"Годовой объем "&amp;IF(TEMPLATE_SPHERE="HEAT","полезного отпуска тепловой энергии (теплоносителя)",IF(TEMPLATE_SPHERE="VOTV","принятых сточных вод","отпущенной "&amp;IF(TEMPLATE_SPHERE="COLDVSNA","потребителям воды","в сеть горячей воды")))</f>
        <v>Годовой объем полезного отпуска тепловой энергии (теплоносителя)</v>
      </c>
      <c r="G147" s="2460"/>
      <c r="H147" s="2460"/>
      <c r="I147" s="2460"/>
      <c r="J147" s="2460"/>
      <c r="K147" s="2460"/>
      <c r="L147" s="2460"/>
      <c r="M147" s="297"/>
      <c r="N147" s="334"/>
      <c r="AH147" s="374">
        <v>19</v>
      </c>
    </row>
    <row s="1635" customFormat="1" customHeight="1" ht="60.75" hidden="1">
      <c r="A148" s="1780" t="s">
        <v>159</v>
      </c>
      <c r="B148" s="1780" t="s">
        <v>160</v>
      </c>
      <c r="C148" s="369"/>
      <c r="D148" s="2462"/>
      <c r="E148" s="2204"/>
      <c r="F148" s="2383" t="str">
        <f>INDEX(PT_DIFFERENTIATION_VTAR,MATCH(A148,PT_DIFFERENTIATION_VTAR_ID,0))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148" s="2427" t="str">
        <f>INDEX(PT_DIFFERENTIATION_NTAR,MATCH(B148,PT_DIFFERENTIATION_NTAR_ID,0))</f>
        <v/>
      </c>
      <c r="H148" s="1862"/>
      <c r="I148" s="1739"/>
      <c r="J148" s="1773"/>
      <c r="K148" s="1778"/>
      <c r="L148" s="1862" t="s">
        <v>308</v>
      </c>
      <c r="M148" s="2169"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Величина годового объема "&amp;IF(TEMPLATE_SPHERE="HEAT","полезного отпуска тепловой энергии (теплоносителя)","отпущенной потребителям воды")&amp;" указывается в колонке «Информация» в тыс. "&amp;IF(TEMPLATE_SPHERE="HEAT","Гкал","куб. м.")&amp;"
В случае дифференциации "&amp;IF(TEMPLATE_SPHERE="HEAT","полезного отпуска тепловой энергии (теплоносителя)","отпущенной потребителям воды")&amp;" по видам тарифов и (или) по срокам действия тарифов информация указывается в отдельных строках."</f>
        <v>Значение в колонке «Вид тарифа» выбирается из перечня видов тарифов в сфере теплоснабжения, предусмотренных законодательством в сфере теплоснабжения.
Даты начала и окончания срока действия тарифов указываются в виде «ДД.ММ.ГГГГ».
Величина годового объема полезного отпуска тепловой энергии (теплоносителя) указывается в колонке «Информация» в тыс. Гкал
В случае дифференциации полезного отпуска тепловой энергии (теплоносителя) по видам тарифов и (или) по срокам действия тарифов информация указывается в отдельных строках.</v>
      </c>
      <c r="N148" s="334"/>
      <c r="O148" s="1624"/>
      <c r="P148" s="1624"/>
      <c r="AH148" s="1631">
        <v>0</v>
      </c>
    </row>
    <row s="1635" customFormat="1" customHeight="1" ht="18.75" hidden="1">
      <c r="A149" s="1780"/>
      <c r="B149" s="1780"/>
      <c r="C149" s="369" t="s">
        <v>1149</v>
      </c>
      <c r="D149" s="2462"/>
      <c r="E149" s="2204"/>
      <c r="F149" s="2383"/>
      <c r="G149" s="2427"/>
      <c r="H149" s="1500"/>
      <c r="I149" s="651" t="s">
        <v>1148</v>
      </c>
      <c r="J149" s="571"/>
      <c r="K149" s="1500"/>
      <c r="L149" s="214"/>
      <c r="M149" s="2170"/>
      <c r="N149" s="334"/>
      <c r="O149" s="1624"/>
      <c r="P149" s="1624"/>
      <c r="AH149" s="1631">
        <v>0</v>
      </c>
    </row>
    <row s="1635" customFormat="1" customHeight="1" ht="0.75" hidden="1">
      <c r="A150" s="1780"/>
      <c r="B150" s="1780"/>
      <c r="C150" s="369" t="s">
        <v>1156</v>
      </c>
      <c r="D150" s="2462"/>
      <c r="E150" s="2204"/>
      <c r="F150" s="2383"/>
      <c r="G150" s="400"/>
      <c r="H150" s="1500"/>
      <c r="I150" s="651"/>
      <c r="J150" s="571"/>
      <c r="K150" s="1500"/>
      <c r="L150" s="214"/>
      <c r="M150" s="2170"/>
      <c r="N150" s="334"/>
      <c r="O150" s="1624"/>
      <c r="P150" s="1624"/>
      <c r="AH150" s="1631">
        <v>0</v>
      </c>
    </row>
    <row s="1635" customFormat="1" customHeight="1" ht="45" hidden="1">
      <c r="A151" s="1780" t="s">
        <v>164</v>
      </c>
      <c r="B151" s="1780" t="s">
        <v>165</v>
      </c>
      <c r="C151" s="369"/>
      <c r="D151" s="2462"/>
      <c r="E151" s="2204"/>
      <c r="F151" s="2383" t="str">
        <f>INDEX(PT_DIFFERENTIATION_VTAR,MATCH(A151,PT_DIFFERENTIATION_VTAR_ID,0))</f>
        <v/>
      </c>
      <c r="G151" s="2427" t="str">
        <f>INDEX(PT_DIFFERENTIATION_NTAR,MATCH(B151,PT_DIFFERENTIATION_NTAR_ID,0))</f>
        <v/>
      </c>
      <c r="H151" s="1862"/>
      <c r="I151" s="1739"/>
      <c r="J151" s="1773"/>
      <c r="K151" s="1778"/>
      <c r="L151" s="1862" t="s">
        <v>308</v>
      </c>
      <c r="M151" s="2171"/>
      <c r="N151" s="334"/>
      <c r="O151" s="1624"/>
      <c r="P151" s="1624"/>
      <c r="AH151" s="1631">
        <v>0</v>
      </c>
    </row>
    <row s="1635" customFormat="1" customHeight="1" ht="18.75" hidden="1">
      <c r="A152" s="1780"/>
      <c r="B152" s="1780"/>
      <c r="C152" s="369" t="s">
        <v>1149</v>
      </c>
      <c r="D152" s="2462"/>
      <c r="E152" s="2204"/>
      <c r="F152" s="2383"/>
      <c r="G152" s="2427"/>
      <c r="H152" s="1500"/>
      <c r="I152" s="651" t="s">
        <v>1148</v>
      </c>
      <c r="J152" s="571"/>
      <c r="K152" s="1500"/>
      <c r="L152" s="214"/>
      <c r="M152" s="1861"/>
      <c r="N152" s="334"/>
      <c r="O152" s="1624"/>
      <c r="P152" s="1624"/>
      <c r="AH152" s="1631">
        <v>0</v>
      </c>
    </row>
    <row s="1635" customFormat="1" customHeight="1" ht="0.75" hidden="1">
      <c r="A153" s="1780"/>
      <c r="B153" s="1780"/>
      <c r="C153" s="369" t="s">
        <v>1156</v>
      </c>
      <c r="D153" s="2462"/>
      <c r="E153" s="2204"/>
      <c r="F153" s="2383"/>
      <c r="G153" s="400"/>
      <c r="H153" s="1500"/>
      <c r="I153" s="651"/>
      <c r="J153" s="571"/>
      <c r="K153" s="1500"/>
      <c r="L153" s="214"/>
      <c r="M153" s="341"/>
      <c r="N153" s="334"/>
      <c r="O153" s="1624"/>
      <c r="P153" s="1624"/>
      <c r="AH153" s="1631">
        <v>0</v>
      </c>
    </row>
    <row s="1635" customFormat="1" customHeight="1" ht="45" hidden="1">
      <c r="A154" s="1780" t="s">
        <v>171</v>
      </c>
      <c r="B154" s="1780" t="s">
        <v>172</v>
      </c>
      <c r="C154" s="369"/>
      <c r="D154" s="2462"/>
      <c r="E154" s="2204"/>
      <c r="F154" s="2383" t="str">
        <f>INDEX(PT_DIFFERENTIATION_VTAR,MATCH(A154,PT_DIFFERENTIATION_VTAR_ID,0))</f>
        <v>Тарифы на теплоноситель, поставляемый теплоснабжающими организациями потребителям, другим теплоснабжающим организациям</v>
      </c>
      <c r="G154" s="2427" t="str">
        <f>INDEX(PT_DIFFERENTIATION_NTAR,MATCH(B154,PT_DIFFERENTIATION_NTAR_ID,0))</f>
        <v/>
      </c>
      <c r="H154" s="1862"/>
      <c r="I154" s="1739"/>
      <c r="J154" s="1773"/>
      <c r="K154" s="1778"/>
      <c r="L154" s="1862" t="s">
        <v>308</v>
      </c>
      <c r="M154" s="341"/>
      <c r="N154" s="334"/>
      <c r="O154" s="1624"/>
      <c r="P154" s="1624"/>
      <c r="AH154" s="1631">
        <v>0</v>
      </c>
    </row>
    <row s="1635" customFormat="1" customHeight="1" ht="18.75" hidden="1">
      <c r="A155" s="1780"/>
      <c r="B155" s="1780"/>
      <c r="C155" s="369" t="s">
        <v>1149</v>
      </c>
      <c r="D155" s="2462"/>
      <c r="E155" s="2204"/>
      <c r="F155" s="2383"/>
      <c r="G155" s="2427"/>
      <c r="H155" s="1500"/>
      <c r="I155" s="651" t="s">
        <v>1148</v>
      </c>
      <c r="J155" s="571"/>
      <c r="K155" s="1500"/>
      <c r="L155" s="214"/>
      <c r="M155" s="341"/>
      <c r="N155" s="334"/>
      <c r="O155" s="1624"/>
      <c r="P155" s="1624"/>
      <c r="AH155" s="1631">
        <v>0</v>
      </c>
    </row>
    <row s="1635" customFormat="1" customHeight="1" ht="0.75" hidden="1">
      <c r="A156" s="1780"/>
      <c r="B156" s="1780"/>
      <c r="C156" s="369" t="s">
        <v>1156</v>
      </c>
      <c r="D156" s="2462"/>
      <c r="E156" s="2204"/>
      <c r="F156" s="2383"/>
      <c r="G156" s="400"/>
      <c r="H156" s="1500"/>
      <c r="I156" s="651"/>
      <c r="J156" s="571"/>
      <c r="K156" s="1500"/>
      <c r="L156" s="214"/>
      <c r="M156" s="341"/>
      <c r="N156" s="334"/>
      <c r="O156" s="1624"/>
      <c r="P156" s="1624"/>
      <c r="AH156" s="1631">
        <v>0</v>
      </c>
    </row>
    <row s="1635" customFormat="1" customHeight="1" ht="45" hidden="1">
      <c r="A157" s="1780" t="s">
        <v>177</v>
      </c>
      <c r="B157" s="1780" t="s">
        <v>178</v>
      </c>
      <c r="C157" s="369"/>
      <c r="D157" s="2462"/>
      <c r="E157" s="2204"/>
      <c r="F157" s="2383" t="str">
        <f>INDEX(PT_DIFFERENTIATION_VTAR,MATCH(A157,PT_DIFFERENTIATION_VTAR_ID,0))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157" s="2427" t="str">
        <f>INDEX(PT_DIFFERENTIATION_NTAR,MATCH(B157,PT_DIFFERENTIATION_NTAR_ID,0))</f>
        <v/>
      </c>
      <c r="H157" s="1862"/>
      <c r="I157" s="1739"/>
      <c r="J157" s="1773"/>
      <c r="K157" s="1778"/>
      <c r="L157" s="1862" t="s">
        <v>308</v>
      </c>
      <c r="M157" s="341"/>
      <c r="N157" s="334"/>
      <c r="O157" s="1624"/>
      <c r="P157" s="1624"/>
      <c r="AH157" s="1631">
        <v>0</v>
      </c>
    </row>
    <row s="1635" customFormat="1" customHeight="1" ht="18.75" hidden="1">
      <c r="A158" s="1780"/>
      <c r="B158" s="1780"/>
      <c r="C158" s="369" t="s">
        <v>1149</v>
      </c>
      <c r="D158" s="2462"/>
      <c r="E158" s="2204"/>
      <c r="F158" s="2383"/>
      <c r="G158" s="2427"/>
      <c r="H158" s="1500"/>
      <c r="I158" s="651" t="s">
        <v>1148</v>
      </c>
      <c r="J158" s="571"/>
      <c r="K158" s="1500"/>
      <c r="L158" s="214"/>
      <c r="M158" s="341"/>
      <c r="N158" s="334"/>
      <c r="O158" s="1624"/>
      <c r="P158" s="1624"/>
      <c r="AH158" s="1631">
        <v>0</v>
      </c>
    </row>
    <row s="1635" customFormat="1" customHeight="1" ht="0.75" hidden="1">
      <c r="A159" s="1780"/>
      <c r="B159" s="1780"/>
      <c r="C159" s="369" t="s">
        <v>1156</v>
      </c>
      <c r="D159" s="2462"/>
      <c r="E159" s="2204"/>
      <c r="F159" s="2383"/>
      <c r="G159" s="400"/>
      <c r="H159" s="1500"/>
      <c r="I159" s="651"/>
      <c r="J159" s="571"/>
      <c r="K159" s="1500"/>
      <c r="L159" s="214"/>
      <c r="M159" s="341"/>
      <c r="N159" s="334"/>
      <c r="O159" s="1624"/>
      <c r="P159" s="1624"/>
      <c r="AH159" s="1631">
        <v>0</v>
      </c>
    </row>
    <row s="1635" customFormat="1" customHeight="1" ht="18.75" hidden="1">
      <c r="A160" s="1780" t="s">
        <v>183</v>
      </c>
      <c r="B160" s="1780" t="s">
        <v>184</v>
      </c>
      <c r="C160" s="369"/>
      <c r="D160" s="2462"/>
      <c r="E160" s="2204"/>
      <c r="F160" s="2383" t="str">
        <f>INDEX(PT_DIFFERENTIATION_VTAR,MATCH(A160,PT_DIFFERENTIATION_VTAR_ID,0))</f>
        <v>Тарифы на услуги по передаче тепловой энергии</v>
      </c>
      <c r="G160" s="2427" t="str">
        <f>INDEX(PT_DIFFERENTIATION_NTAR,MATCH(B160,PT_DIFFERENTIATION_NTAR_ID,0))</f>
        <v/>
      </c>
      <c r="H160" s="1862"/>
      <c r="I160" s="1739"/>
      <c r="J160" s="1773"/>
      <c r="K160" s="1778"/>
      <c r="L160" s="1862" t="s">
        <v>308</v>
      </c>
      <c r="M160" s="341"/>
      <c r="N160" s="334"/>
      <c r="O160" s="1624"/>
      <c r="P160" s="1624"/>
      <c r="AH160" s="1631">
        <v>0</v>
      </c>
    </row>
    <row s="1635" customFormat="1" customHeight="1" ht="18.75" hidden="1">
      <c r="A161" s="1780"/>
      <c r="B161" s="1780"/>
      <c r="C161" s="369" t="s">
        <v>1149</v>
      </c>
      <c r="D161" s="2462"/>
      <c r="E161" s="2204"/>
      <c r="F161" s="2383"/>
      <c r="G161" s="2427"/>
      <c r="H161" s="1500"/>
      <c r="I161" s="651" t="s">
        <v>1148</v>
      </c>
      <c r="J161" s="571"/>
      <c r="K161" s="1500"/>
      <c r="L161" s="214"/>
      <c r="M161" s="341"/>
      <c r="N161" s="334"/>
      <c r="O161" s="1624"/>
      <c r="P161" s="1624"/>
      <c r="AH161" s="1631">
        <v>0</v>
      </c>
    </row>
    <row s="1635" customFormat="1" customHeight="1" ht="0.75" hidden="1">
      <c r="A162" s="1780"/>
      <c r="B162" s="1780"/>
      <c r="C162" s="369" t="s">
        <v>1156</v>
      </c>
      <c r="D162" s="2462"/>
      <c r="E162" s="2204"/>
      <c r="F162" s="2383"/>
      <c r="G162" s="400"/>
      <c r="H162" s="1500"/>
      <c r="I162" s="651"/>
      <c r="J162" s="571"/>
      <c r="K162" s="1500"/>
      <c r="L162" s="214"/>
      <c r="M162" s="341"/>
      <c r="N162" s="334"/>
      <c r="O162" s="1624"/>
      <c r="P162" s="1624"/>
      <c r="AH162" s="1631">
        <v>0</v>
      </c>
    </row>
    <row s="1635" customFormat="1" customHeight="1" ht="18.75" hidden="1">
      <c r="A163" s="1780" t="s">
        <v>189</v>
      </c>
      <c r="B163" s="1780" t="s">
        <v>190</v>
      </c>
      <c r="C163" s="369"/>
      <c r="D163" s="2462"/>
      <c r="E163" s="2204"/>
      <c r="F163" s="2383" t="str">
        <f>INDEX(PT_DIFFERENTIATION_VTAR,MATCH(A163,PT_DIFFERENTIATION_VTAR_ID,0))</f>
        <v>Тарифы на услуги по передаче теплоносителя</v>
      </c>
      <c r="G163" s="2427" t="str">
        <f>INDEX(PT_DIFFERENTIATION_NTAR,MATCH(B163,PT_DIFFERENTIATION_NTAR_ID,0))</f>
        <v/>
      </c>
      <c r="H163" s="1862"/>
      <c r="I163" s="1739"/>
      <c r="J163" s="1773"/>
      <c r="K163" s="1778"/>
      <c r="L163" s="1862" t="s">
        <v>308</v>
      </c>
      <c r="M163" s="341"/>
      <c r="N163" s="334"/>
      <c r="O163" s="1624"/>
      <c r="P163" s="1624"/>
      <c r="AH163" s="1631">
        <v>0</v>
      </c>
    </row>
    <row s="1635" customFormat="1" customHeight="1" ht="18.75" hidden="1">
      <c r="A164" s="1780"/>
      <c r="B164" s="1780"/>
      <c r="C164" s="369" t="s">
        <v>1149</v>
      </c>
      <c r="D164" s="2462"/>
      <c r="E164" s="2204"/>
      <c r="F164" s="2383"/>
      <c r="G164" s="2427"/>
      <c r="H164" s="1500"/>
      <c r="I164" s="651" t="s">
        <v>1148</v>
      </c>
      <c r="J164" s="571"/>
      <c r="K164" s="1500"/>
      <c r="L164" s="214"/>
      <c r="M164" s="341"/>
      <c r="N164" s="334"/>
      <c r="O164" s="1624"/>
      <c r="P164" s="1624"/>
      <c r="AH164" s="1631">
        <v>0</v>
      </c>
    </row>
    <row s="1635" customFormat="1" customHeight="1" ht="0.75" hidden="1">
      <c r="A165" s="1780"/>
      <c r="B165" s="1780"/>
      <c r="C165" s="369" t="s">
        <v>1156</v>
      </c>
      <c r="D165" s="2462"/>
      <c r="E165" s="2204"/>
      <c r="F165" s="2383"/>
      <c r="G165" s="400"/>
      <c r="H165" s="1500"/>
      <c r="I165" s="651"/>
      <c r="J165" s="571"/>
      <c r="K165" s="1500"/>
      <c r="L165" s="214"/>
      <c r="M165" s="341"/>
      <c r="N165" s="334"/>
      <c r="O165" s="1624"/>
      <c r="P165" s="1624"/>
      <c r="AH165" s="1631">
        <v>0</v>
      </c>
    </row>
    <row s="1635" customFormat="1" customHeight="1" ht="18.75" hidden="1">
      <c r="A166" s="1780" t="s">
        <v>195</v>
      </c>
      <c r="B166" s="1780" t="s">
        <v>196</v>
      </c>
      <c r="C166" s="369"/>
      <c r="D166" s="2462"/>
      <c r="E166" s="2204"/>
      <c r="F166" s="2383" t="str">
        <f>INDEX(PT_DIFFERENTIATION_VTAR,MATCH(A166,PT_DIFFERENTIATION_VTAR_ID,0))</f>
        <v>Плата за услуги по поддержанию резервной тепловой мощности при отсутствии потребления тепловой энергии</v>
      </c>
      <c r="G166" s="2427" t="str">
        <f>INDEX(PT_DIFFERENTIATION_NTAR,MATCH(B166,PT_DIFFERENTIATION_NTAR_ID,0))</f>
        <v/>
      </c>
      <c r="H166" s="1862"/>
      <c r="I166" s="1739"/>
      <c r="J166" s="1773"/>
      <c r="K166" s="1778"/>
      <c r="L166" s="1862" t="s">
        <v>308</v>
      </c>
      <c r="M166" s="341"/>
      <c r="N166" s="334"/>
      <c r="O166" s="1624"/>
      <c r="P166" s="1624"/>
      <c r="AH166" s="1631">
        <v>0</v>
      </c>
    </row>
    <row s="1635" customFormat="1" customHeight="1" ht="18.75" hidden="1">
      <c r="A167" s="1780"/>
      <c r="B167" s="1780"/>
      <c r="C167" s="369" t="s">
        <v>1149</v>
      </c>
      <c r="D167" s="2462"/>
      <c r="E167" s="2204"/>
      <c r="F167" s="2383"/>
      <c r="G167" s="2427"/>
      <c r="H167" s="1500"/>
      <c r="I167" s="651" t="s">
        <v>1148</v>
      </c>
      <c r="J167" s="571"/>
      <c r="K167" s="1500"/>
      <c r="L167" s="214"/>
      <c r="M167" s="341"/>
      <c r="N167" s="334"/>
      <c r="O167" s="1624"/>
      <c r="P167" s="1624"/>
      <c r="AH167" s="1631">
        <v>0</v>
      </c>
    </row>
    <row s="1635" customFormat="1" customHeight="1" ht="0.75" hidden="1">
      <c r="A168" s="1780"/>
      <c r="B168" s="1780"/>
      <c r="C168" s="369" t="s">
        <v>1156</v>
      </c>
      <c r="D168" s="2462"/>
      <c r="E168" s="2204"/>
      <c r="F168" s="2383"/>
      <c r="G168" s="400"/>
      <c r="H168" s="1500"/>
      <c r="I168" s="651"/>
      <c r="J168" s="571"/>
      <c r="K168" s="1500"/>
      <c r="L168" s="214"/>
      <c r="M168" s="341"/>
      <c r="N168" s="334"/>
      <c r="O168" s="1624"/>
      <c r="P168" s="1624"/>
      <c r="AH168" s="1631">
        <v>0</v>
      </c>
    </row>
    <row s="1635" customFormat="1" customHeight="1" ht="18.75" hidden="1">
      <c r="A169" s="1780" t="s">
        <v>201</v>
      </c>
      <c r="B169" s="1780" t="s">
        <v>202</v>
      </c>
      <c r="C169" s="369"/>
      <c r="D169" s="2462"/>
      <c r="E169" s="2204"/>
      <c r="F169" s="2383" t="str">
        <f>INDEX(PT_DIFFERENTIATION_VTAR,MATCH(A169,PT_DIFFERENTIATION_VTAR_ID,0))</f>
        <v>Плата за подключение (технологическое присоединение) к системе теплоснабжения</v>
      </c>
      <c r="G169" s="2427" t="str">
        <f>INDEX(PT_DIFFERENTIATION_NTAR,MATCH(B169,PT_DIFFERENTIATION_NTAR_ID,0))</f>
        <v/>
      </c>
      <c r="H169" s="1862"/>
      <c r="I169" s="1739"/>
      <c r="J169" s="1773"/>
      <c r="K169" s="1778"/>
      <c r="L169" s="1862" t="s">
        <v>308</v>
      </c>
      <c r="M169" s="341"/>
      <c r="N169" s="334"/>
      <c r="O169" s="1624"/>
      <c r="P169" s="1624"/>
      <c r="AH169" s="1631">
        <v>0</v>
      </c>
    </row>
    <row s="1635" customFormat="1" customHeight="1" ht="18.75" hidden="1">
      <c r="A170" s="1780"/>
      <c r="B170" s="1780"/>
      <c r="C170" s="369" t="s">
        <v>1149</v>
      </c>
      <c r="D170" s="2462"/>
      <c r="E170" s="2204"/>
      <c r="F170" s="2383"/>
      <c r="G170" s="2427"/>
      <c r="H170" s="1500"/>
      <c r="I170" s="651" t="s">
        <v>1148</v>
      </c>
      <c r="J170" s="571"/>
      <c r="K170" s="1500"/>
      <c r="L170" s="214"/>
      <c r="M170" s="341"/>
      <c r="N170" s="334"/>
      <c r="O170" s="1624"/>
      <c r="P170" s="1624"/>
      <c r="AH170" s="1631">
        <v>0</v>
      </c>
    </row>
    <row s="1635" customFormat="1" customHeight="1" ht="0.75" hidden="1">
      <c r="A171" s="1780"/>
      <c r="B171" s="1780"/>
      <c r="C171" s="369" t="s">
        <v>1156</v>
      </c>
      <c r="D171" s="2462"/>
      <c r="E171" s="2204"/>
      <c r="F171" s="2383"/>
      <c r="G171" s="400"/>
      <c r="H171" s="1500"/>
      <c r="I171" s="651"/>
      <c r="J171" s="571"/>
      <c r="K171" s="1500"/>
      <c r="L171" s="214"/>
      <c r="M171" s="341"/>
      <c r="N171" s="334"/>
      <c r="O171" s="1624"/>
      <c r="P171" s="1624"/>
      <c r="AH171" s="1631">
        <v>0</v>
      </c>
    </row>
    <row s="1635" customFormat="1" customHeight="1" ht="18.75" hidden="1">
      <c r="A172" s="1780" t="s">
        <v>207</v>
      </c>
      <c r="B172" s="1780" t="s">
        <v>208</v>
      </c>
      <c r="C172" s="369"/>
      <c r="D172" s="2462"/>
      <c r="E172" s="2204"/>
      <c r="F172" s="2383" t="str">
        <f>INDEX(PT_DIFFERENTIATION_VTAR,MATCH(A172,PT_DIFFERENTIATION_VTAR_ID,0))</f>
        <v>Плата за подключение (технологическое присоединение) к системе теплоснабжения (индивидуальная)</v>
      </c>
      <c r="G172" s="2427" t="str">
        <f>INDEX(PT_DIFFERENTIATION_NTAR,MATCH(B172,PT_DIFFERENTIATION_NTAR_ID,0))</f>
        <v/>
      </c>
      <c r="H172" s="1989"/>
      <c r="I172" s="1739"/>
      <c r="J172" s="1773"/>
      <c r="K172" s="1778"/>
      <c r="L172" s="1989" t="s">
        <v>308</v>
      </c>
      <c r="M172" s="341"/>
      <c r="N172" s="334"/>
      <c r="O172" s="1624"/>
      <c r="P172" s="1624"/>
      <c r="AH172" s="1631">
        <v>0</v>
      </c>
    </row>
    <row s="1635" customFormat="1" customHeight="1" ht="18.75" hidden="1">
      <c r="A173" s="1780"/>
      <c r="B173" s="1780"/>
      <c r="C173" s="369" t="s">
        <v>1149</v>
      </c>
      <c r="D173" s="2462"/>
      <c r="E173" s="2204"/>
      <c r="F173" s="2383"/>
      <c r="G173" s="2427"/>
      <c r="H173" s="1500"/>
      <c r="I173" s="651" t="s">
        <v>1148</v>
      </c>
      <c r="J173" s="571"/>
      <c r="K173" s="1500"/>
      <c r="L173" s="214"/>
      <c r="M173" s="341"/>
      <c r="N173" s="334"/>
      <c r="O173" s="1624"/>
      <c r="P173" s="1624"/>
      <c r="AH173" s="1631">
        <v>0</v>
      </c>
    </row>
    <row s="1635" customFormat="1" customHeight="1" ht="0.75" hidden="1">
      <c r="A174" s="1780"/>
      <c r="B174" s="1780"/>
      <c r="C174" s="369" t="s">
        <v>1156</v>
      </c>
      <c r="D174" s="2462"/>
      <c r="E174" s="2204"/>
      <c r="F174" s="2383"/>
      <c r="G174" s="400"/>
      <c r="H174" s="1500"/>
      <c r="I174" s="651"/>
      <c r="J174" s="571"/>
      <c r="K174" s="1500"/>
      <c r="L174" s="214"/>
      <c r="M174" s="341"/>
      <c r="N174" s="334"/>
      <c r="O174" s="1624"/>
      <c r="P174" s="1624"/>
      <c r="AH174" s="1631">
        <v>0</v>
      </c>
    </row>
    <row s="1635" customFormat="1" customHeight="1" ht="18.75" hidden="1">
      <c r="A175" s="1780" t="s">
        <v>227</v>
      </c>
      <c r="B175" s="1780" t="s">
        <v>228</v>
      </c>
      <c r="C175" s="369"/>
      <c r="D175" s="2462"/>
      <c r="E175" s="2204"/>
      <c r="F175" s="2383" t="str">
        <f>INDEX(PT_DIFFERENTIATION_VTAR,MATCH(A175,PT_DIFFERENTIATION_VTAR_ID,0))</f>
        <v>Тариф на питьевую воду (питьевое водоснабжение)</v>
      </c>
      <c r="G175" s="2427" t="str">
        <f>INDEX(PT_DIFFERENTIATION_NTAR,MATCH(B175,PT_DIFFERENTIATION_NTAR_ID,0))</f>
        <v/>
      </c>
      <c r="H175" s="1862"/>
      <c r="I175" s="1739"/>
      <c r="J175" s="1773"/>
      <c r="K175" s="1778"/>
      <c r="L175" s="1862" t="s">
        <v>308</v>
      </c>
      <c r="M175" s="341"/>
      <c r="N175" s="334"/>
      <c r="O175" s="1624"/>
      <c r="P175" s="1624"/>
      <c r="AH175" s="1631">
        <v>0</v>
      </c>
    </row>
    <row s="1635" customFormat="1" customHeight="1" ht="18.75" hidden="1">
      <c r="A176" s="1780"/>
      <c r="B176" s="1780"/>
      <c r="C176" s="369" t="s">
        <v>1149</v>
      </c>
      <c r="D176" s="2462"/>
      <c r="E176" s="2204"/>
      <c r="F176" s="2383"/>
      <c r="G176" s="2427"/>
      <c r="H176" s="1500"/>
      <c r="I176" s="651" t="s">
        <v>1148</v>
      </c>
      <c r="J176" s="571"/>
      <c r="K176" s="1500"/>
      <c r="L176" s="214"/>
      <c r="M176" s="341"/>
      <c r="N176" s="334"/>
      <c r="O176" s="1624"/>
      <c r="P176" s="1624"/>
      <c r="AH176" s="1631">
        <v>0</v>
      </c>
    </row>
    <row s="1635" customFormat="1" customHeight="1" ht="0.75" hidden="1">
      <c r="A177" s="1780"/>
      <c r="B177" s="1780"/>
      <c r="C177" s="369" t="s">
        <v>1156</v>
      </c>
      <c r="D177" s="2462"/>
      <c r="E177" s="2204"/>
      <c r="F177" s="2383"/>
      <c r="G177" s="400"/>
      <c r="H177" s="1500"/>
      <c r="I177" s="651"/>
      <c r="J177" s="571"/>
      <c r="K177" s="1500"/>
      <c r="L177" s="214"/>
      <c r="M177" s="341"/>
      <c r="N177" s="334"/>
      <c r="O177" s="1624"/>
      <c r="P177" s="1624"/>
      <c r="AH177" s="1631">
        <v>0</v>
      </c>
    </row>
    <row s="1635" customFormat="1" customHeight="1" ht="18.75" hidden="1">
      <c r="A178" s="1780" t="s">
        <v>232</v>
      </c>
      <c r="B178" s="1780" t="s">
        <v>233</v>
      </c>
      <c r="C178" s="369"/>
      <c r="D178" s="2462"/>
      <c r="E178" s="2204"/>
      <c r="F178" s="2383" t="str">
        <f>INDEX(PT_DIFFERENTIATION_VTAR,MATCH(A178,PT_DIFFERENTIATION_VTAR_ID,0))</f>
        <v>Тариф на техническую воду</v>
      </c>
      <c r="G178" s="2427" t="str">
        <f>INDEX(PT_DIFFERENTIATION_NTAR,MATCH(B178,PT_DIFFERENTIATION_NTAR_ID,0))</f>
        <v/>
      </c>
      <c r="H178" s="1862"/>
      <c r="I178" s="1739"/>
      <c r="J178" s="1773"/>
      <c r="K178" s="1778"/>
      <c r="L178" s="1862" t="s">
        <v>308</v>
      </c>
      <c r="M178" s="341"/>
      <c r="N178" s="334"/>
      <c r="O178" s="1624"/>
      <c r="P178" s="1624"/>
      <c r="AH178" s="1631">
        <v>0</v>
      </c>
    </row>
    <row s="1635" customFormat="1" customHeight="1" ht="18.75" hidden="1">
      <c r="A179" s="1780"/>
      <c r="B179" s="1780"/>
      <c r="C179" s="369" t="s">
        <v>1149</v>
      </c>
      <c r="D179" s="2462"/>
      <c r="E179" s="2204"/>
      <c r="F179" s="2383"/>
      <c r="G179" s="2427"/>
      <c r="H179" s="1500"/>
      <c r="I179" s="651" t="s">
        <v>1148</v>
      </c>
      <c r="J179" s="571"/>
      <c r="K179" s="1500"/>
      <c r="L179" s="214"/>
      <c r="M179" s="341"/>
      <c r="N179" s="334"/>
      <c r="O179" s="1624"/>
      <c r="P179" s="1624"/>
      <c r="AH179" s="1631">
        <v>0</v>
      </c>
    </row>
    <row s="1635" customFormat="1" customHeight="1" ht="0.75" hidden="1">
      <c r="A180" s="1780"/>
      <c r="B180" s="1780"/>
      <c r="C180" s="369" t="s">
        <v>1156</v>
      </c>
      <c r="D180" s="2462"/>
      <c r="E180" s="2204"/>
      <c r="F180" s="2383"/>
      <c r="G180" s="400"/>
      <c r="H180" s="1500"/>
      <c r="I180" s="651"/>
      <c r="J180" s="571"/>
      <c r="K180" s="1500"/>
      <c r="L180" s="214"/>
      <c r="M180" s="341"/>
      <c r="N180" s="334"/>
      <c r="O180" s="1624"/>
      <c r="P180" s="1624"/>
      <c r="AH180" s="1631">
        <v>0</v>
      </c>
    </row>
    <row s="1635" customFormat="1" customHeight="1" ht="18.75" hidden="1">
      <c r="A181" s="1780" t="s">
        <v>237</v>
      </c>
      <c r="B181" s="1780" t="s">
        <v>238</v>
      </c>
      <c r="C181" s="369"/>
      <c r="D181" s="2462"/>
      <c r="E181" s="2204"/>
      <c r="F181" s="2383" t="str">
        <f>INDEX(PT_DIFFERENTIATION_VTAR,MATCH(A181,PT_DIFFERENTIATION_VTAR_ID,0))</f>
        <v>Тариф на транспортировку воды</v>
      </c>
      <c r="G181" s="2427" t="str">
        <f>INDEX(PT_DIFFERENTIATION_NTAR,MATCH(B181,PT_DIFFERENTIATION_NTAR_ID,0))</f>
        <v/>
      </c>
      <c r="H181" s="1862"/>
      <c r="I181" s="1739"/>
      <c r="J181" s="1773"/>
      <c r="K181" s="1778"/>
      <c r="L181" s="1862" t="s">
        <v>308</v>
      </c>
      <c r="M181" s="341"/>
      <c r="N181" s="334"/>
      <c r="O181" s="1624"/>
      <c r="P181" s="1624"/>
      <c r="AH181" s="1631">
        <v>0</v>
      </c>
    </row>
    <row s="1635" customFormat="1" customHeight="1" ht="18.75" hidden="1">
      <c r="A182" s="1780"/>
      <c r="B182" s="1780"/>
      <c r="C182" s="369" t="s">
        <v>1149</v>
      </c>
      <c r="D182" s="2462"/>
      <c r="E182" s="2204"/>
      <c r="F182" s="2383"/>
      <c r="G182" s="2427"/>
      <c r="H182" s="1500"/>
      <c r="I182" s="651" t="s">
        <v>1148</v>
      </c>
      <c r="J182" s="571"/>
      <c r="K182" s="1500"/>
      <c r="L182" s="214"/>
      <c r="M182" s="341"/>
      <c r="N182" s="334"/>
      <c r="O182" s="1624"/>
      <c r="P182" s="1624"/>
      <c r="AH182" s="1631">
        <v>0</v>
      </c>
    </row>
    <row s="1635" customFormat="1" customHeight="1" ht="0.75" hidden="1">
      <c r="A183" s="1780"/>
      <c r="B183" s="1780"/>
      <c r="C183" s="369" t="s">
        <v>1156</v>
      </c>
      <c r="D183" s="2462"/>
      <c r="E183" s="2204"/>
      <c r="F183" s="2383"/>
      <c r="G183" s="400"/>
      <c r="H183" s="1500"/>
      <c r="I183" s="651"/>
      <c r="J183" s="571"/>
      <c r="K183" s="1500"/>
      <c r="L183" s="214"/>
      <c r="M183" s="341"/>
      <c r="N183" s="334"/>
      <c r="O183" s="1624"/>
      <c r="P183" s="1624"/>
      <c r="AH183" s="1631">
        <v>0</v>
      </c>
    </row>
    <row s="1635" customFormat="1" customHeight="1" ht="18.75" hidden="1">
      <c r="A184" s="1780" t="s">
        <v>242</v>
      </c>
      <c r="B184" s="1780" t="s">
        <v>243</v>
      </c>
      <c r="C184" s="369"/>
      <c r="D184" s="2462"/>
      <c r="E184" s="2204"/>
      <c r="F184" s="2383" t="str">
        <f>INDEX(PT_DIFFERENTIATION_VTAR,MATCH(A184,PT_DIFFERENTIATION_VTAR_ID,0))</f>
        <v>Тариф на подвоз воды</v>
      </c>
      <c r="G184" s="2427" t="str">
        <f>INDEX(PT_DIFFERENTIATION_NTAR,MATCH(B184,PT_DIFFERENTIATION_NTAR_ID,0))</f>
        <v/>
      </c>
      <c r="H184" s="1862"/>
      <c r="I184" s="1739"/>
      <c r="J184" s="1773"/>
      <c r="K184" s="1778"/>
      <c r="L184" s="1862" t="s">
        <v>308</v>
      </c>
      <c r="M184" s="341"/>
      <c r="N184" s="334"/>
      <c r="O184" s="1624"/>
      <c r="P184" s="1624"/>
      <c r="AH184" s="1631">
        <v>0</v>
      </c>
    </row>
    <row s="1635" customFormat="1" customHeight="1" ht="18.75" hidden="1">
      <c r="A185" s="1780"/>
      <c r="B185" s="1780"/>
      <c r="C185" s="369" t="s">
        <v>1149</v>
      </c>
      <c r="D185" s="2462"/>
      <c r="E185" s="2204"/>
      <c r="F185" s="2383"/>
      <c r="G185" s="2427"/>
      <c r="H185" s="1500"/>
      <c r="I185" s="651" t="s">
        <v>1148</v>
      </c>
      <c r="J185" s="571"/>
      <c r="K185" s="1500"/>
      <c r="L185" s="214"/>
      <c r="M185" s="341"/>
      <c r="N185" s="334"/>
      <c r="O185" s="1624"/>
      <c r="P185" s="1624"/>
      <c r="AH185" s="1631">
        <v>0</v>
      </c>
    </row>
    <row s="1635" customFormat="1" customHeight="1" ht="0.75" hidden="1">
      <c r="A186" s="1780"/>
      <c r="B186" s="1780"/>
      <c r="C186" s="369" t="s">
        <v>1156</v>
      </c>
      <c r="D186" s="2462"/>
      <c r="E186" s="2204"/>
      <c r="F186" s="2383"/>
      <c r="G186" s="400"/>
      <c r="H186" s="1500"/>
      <c r="I186" s="651"/>
      <c r="J186" s="571"/>
      <c r="K186" s="1500"/>
      <c r="L186" s="214"/>
      <c r="M186" s="341"/>
      <c r="N186" s="334"/>
      <c r="O186" s="1624"/>
      <c r="P186" s="1624"/>
      <c r="AH186" s="1631">
        <v>0</v>
      </c>
    </row>
    <row s="1635" customFormat="1" customHeight="1" ht="18.75" hidden="1">
      <c r="A187" s="1780" t="s">
        <v>247</v>
      </c>
      <c r="B187" s="1780" t="s">
        <v>248</v>
      </c>
      <c r="C187" s="369"/>
      <c r="D187" s="2462"/>
      <c r="E187" s="2204"/>
      <c r="F187" s="2383" t="str">
        <f>INDEX(PT_DIFFERENTIATION_VTAR,MATCH(A187,PT_DIFFERENTIATION_VTAR_ID,0))</f>
        <v>Тариф на подключение (технологическое присоединение) к централизованной системе холодного водоснабжения</v>
      </c>
      <c r="G187" s="2427" t="str">
        <f>INDEX(PT_DIFFERENTIATION_NTAR,MATCH(B187,PT_DIFFERENTIATION_NTAR_ID,0))</f>
        <v/>
      </c>
      <c r="H187" s="1862"/>
      <c r="I187" s="1739"/>
      <c r="J187" s="1773"/>
      <c r="K187" s="1778"/>
      <c r="L187" s="1862" t="s">
        <v>308</v>
      </c>
      <c r="M187" s="341"/>
      <c r="N187" s="334"/>
      <c r="O187" s="1624"/>
      <c r="P187" s="1624"/>
      <c r="AH187" s="1631">
        <v>0</v>
      </c>
    </row>
    <row s="1635" customFormat="1" customHeight="1" ht="18.75" hidden="1">
      <c r="A188" s="1780"/>
      <c r="B188" s="1780"/>
      <c r="C188" s="369" t="s">
        <v>1149</v>
      </c>
      <c r="D188" s="2462"/>
      <c r="E188" s="2204"/>
      <c r="F188" s="2383"/>
      <c r="G188" s="2427"/>
      <c r="H188" s="1500"/>
      <c r="I188" s="651" t="s">
        <v>1148</v>
      </c>
      <c r="J188" s="571"/>
      <c r="K188" s="1500"/>
      <c r="L188" s="214"/>
      <c r="M188" s="341"/>
      <c r="N188" s="334"/>
      <c r="O188" s="1624"/>
      <c r="P188" s="1624"/>
      <c r="AH188" s="1631">
        <v>0</v>
      </c>
    </row>
    <row s="1635" customFormat="1" customHeight="1" ht="0.75" hidden="1">
      <c r="A189" s="1780"/>
      <c r="B189" s="1780"/>
      <c r="C189" s="369" t="s">
        <v>1156</v>
      </c>
      <c r="D189" s="2462"/>
      <c r="E189" s="2204"/>
      <c r="F189" s="2383"/>
      <c r="G189" s="400"/>
      <c r="H189" s="1500"/>
      <c r="I189" s="651"/>
      <c r="J189" s="571"/>
      <c r="K189" s="1500"/>
      <c r="L189" s="214"/>
      <c r="M189" s="341"/>
      <c r="N189" s="334"/>
      <c r="O189" s="1624"/>
      <c r="P189" s="1624"/>
      <c r="AH189" s="1631">
        <v>0</v>
      </c>
    </row>
    <row s="1635" customFormat="1" customHeight="1" ht="18.75" hidden="1">
      <c r="A190" s="1780" t="s">
        <v>252</v>
      </c>
      <c r="B190" s="1780" t="s">
        <v>253</v>
      </c>
      <c r="C190" s="369"/>
      <c r="D190" s="2462"/>
      <c r="E190" s="2204"/>
      <c r="F190" s="2383" t="str">
        <f>INDEX(PT_DIFFERENTIATION_VTAR,MATCH(A190,PT_DIFFERENTIATION_VTAR_ID,0))</f>
        <v>Тариф на горячую воду (горячее водоснабжение)</v>
      </c>
      <c r="G190" s="2427" t="str">
        <f>INDEX(PT_DIFFERENTIATION_NTAR,MATCH(B190,PT_DIFFERENTIATION_NTAR_ID,0))</f>
        <v/>
      </c>
      <c r="H190" s="1862"/>
      <c r="I190" s="1739"/>
      <c r="J190" s="1773"/>
      <c r="K190" s="1778"/>
      <c r="L190" s="1862" t="s">
        <v>308</v>
      </c>
      <c r="M190" s="341"/>
      <c r="N190" s="334"/>
      <c r="O190" s="1624"/>
      <c r="P190" s="1624"/>
      <c r="AH190" s="1631">
        <v>0</v>
      </c>
    </row>
    <row s="1635" customFormat="1" customHeight="1" ht="18.75" hidden="1">
      <c r="A191" s="1780"/>
      <c r="B191" s="1780"/>
      <c r="C191" s="369" t="s">
        <v>1149</v>
      </c>
      <c r="D191" s="2462"/>
      <c r="E191" s="2204"/>
      <c r="F191" s="2383"/>
      <c r="G191" s="2427"/>
      <c r="H191" s="1500"/>
      <c r="I191" s="651" t="s">
        <v>1148</v>
      </c>
      <c r="J191" s="571"/>
      <c r="K191" s="1500"/>
      <c r="L191" s="214"/>
      <c r="M191" s="341"/>
      <c r="N191" s="334"/>
      <c r="O191" s="1624"/>
      <c r="P191" s="1624"/>
      <c r="AH191" s="1631">
        <v>0</v>
      </c>
    </row>
    <row s="1635" customFormat="1" customHeight="1" ht="0.75" hidden="1">
      <c r="A192" s="1780"/>
      <c r="B192" s="1780"/>
      <c r="C192" s="369" t="s">
        <v>1156</v>
      </c>
      <c r="D192" s="2462"/>
      <c r="E192" s="2204"/>
      <c r="F192" s="2383"/>
      <c r="G192" s="400"/>
      <c r="H192" s="1500"/>
      <c r="I192" s="651"/>
      <c r="J192" s="571"/>
      <c r="K192" s="1500"/>
      <c r="L192" s="214"/>
      <c r="M192" s="341"/>
      <c r="N192" s="334"/>
      <c r="O192" s="1624"/>
      <c r="P192" s="1624"/>
      <c r="AH192" s="1631">
        <v>0</v>
      </c>
    </row>
    <row s="1635" customFormat="1" customHeight="1" ht="18.75" hidden="1">
      <c r="A193" s="1780" t="s">
        <v>257</v>
      </c>
      <c r="B193" s="1780" t="s">
        <v>258</v>
      </c>
      <c r="C193" s="369"/>
      <c r="D193" s="2462"/>
      <c r="E193" s="2204"/>
      <c r="F193" s="2383" t="str">
        <f>INDEX(PT_DIFFERENTIATION_VTAR,MATCH(A193,PT_DIFFERENTIATION_VTAR_ID,0))</f>
        <v>Тариф на транспортировку горячей воды</v>
      </c>
      <c r="G193" s="2427" t="str">
        <f>INDEX(PT_DIFFERENTIATION_NTAR,MATCH(B193,PT_DIFFERENTIATION_NTAR_ID,0))</f>
        <v/>
      </c>
      <c r="H193" s="1862"/>
      <c r="I193" s="1739"/>
      <c r="J193" s="1773"/>
      <c r="K193" s="1778"/>
      <c r="L193" s="1862" t="s">
        <v>308</v>
      </c>
      <c r="M193" s="341"/>
      <c r="N193" s="334"/>
      <c r="O193" s="1624"/>
      <c r="P193" s="1624"/>
      <c r="AH193" s="1631">
        <v>0</v>
      </c>
    </row>
    <row s="1635" customFormat="1" customHeight="1" ht="18.75" hidden="1">
      <c r="A194" s="1780"/>
      <c r="B194" s="1780"/>
      <c r="C194" s="369" t="s">
        <v>1149</v>
      </c>
      <c r="D194" s="2462"/>
      <c r="E194" s="2204"/>
      <c r="F194" s="2383"/>
      <c r="G194" s="2427"/>
      <c r="H194" s="1500"/>
      <c r="I194" s="651" t="s">
        <v>1148</v>
      </c>
      <c r="J194" s="571"/>
      <c r="K194" s="1500"/>
      <c r="L194" s="214"/>
      <c r="M194" s="341"/>
      <c r="N194" s="334"/>
      <c r="O194" s="1624"/>
      <c r="P194" s="1624"/>
      <c r="AH194" s="1631">
        <v>0</v>
      </c>
    </row>
    <row s="1635" customFormat="1" customHeight="1" ht="0.75" hidden="1">
      <c r="A195" s="1780"/>
      <c r="B195" s="1780"/>
      <c r="C195" s="369" t="s">
        <v>1156</v>
      </c>
      <c r="D195" s="2462"/>
      <c r="E195" s="2204"/>
      <c r="F195" s="2383"/>
      <c r="G195" s="400"/>
      <c r="H195" s="1500"/>
      <c r="I195" s="651"/>
      <c r="J195" s="571"/>
      <c r="K195" s="1500"/>
      <c r="L195" s="214"/>
      <c r="M195" s="341"/>
      <c r="N195" s="334"/>
      <c r="O195" s="1624"/>
      <c r="P195" s="1624"/>
      <c r="AH195" s="1631">
        <v>0</v>
      </c>
    </row>
    <row s="1635" customFormat="1" customHeight="1" ht="18.75" hidden="1">
      <c r="A196" s="1780" t="s">
        <v>262</v>
      </c>
      <c r="B196" s="1780" t="s">
        <v>263</v>
      </c>
      <c r="C196" s="369"/>
      <c r="D196" s="2462"/>
      <c r="E196" s="2204"/>
      <c r="F196" s="2383" t="str">
        <f>INDEX(PT_DIFFERENTIATION_VTAR,MATCH(A196,PT_DIFFERENTIATION_VTAR_ID,0))</f>
        <v>Тариф на подключение (технологическое присоединение) к централизованной системе горячего водоснабжения</v>
      </c>
      <c r="G196" s="2427" t="str">
        <f>INDEX(PT_DIFFERENTIATION_NTAR,MATCH(B196,PT_DIFFERENTIATION_NTAR_ID,0))</f>
        <v/>
      </c>
      <c r="H196" s="1862"/>
      <c r="I196" s="1739"/>
      <c r="J196" s="1773"/>
      <c r="K196" s="1778"/>
      <c r="L196" s="1862" t="s">
        <v>308</v>
      </c>
      <c r="M196" s="341"/>
      <c r="N196" s="334"/>
      <c r="O196" s="1624"/>
      <c r="P196" s="1624"/>
      <c r="AH196" s="1631">
        <v>0</v>
      </c>
    </row>
    <row s="1635" customFormat="1" customHeight="1" ht="18.75" hidden="1">
      <c r="A197" s="1780"/>
      <c r="B197" s="1780"/>
      <c r="C197" s="369" t="s">
        <v>1149</v>
      </c>
      <c r="D197" s="2462"/>
      <c r="E197" s="2204"/>
      <c r="F197" s="2383"/>
      <c r="G197" s="2427"/>
      <c r="H197" s="1500"/>
      <c r="I197" s="651" t="s">
        <v>1148</v>
      </c>
      <c r="J197" s="571"/>
      <c r="K197" s="1500"/>
      <c r="L197" s="214"/>
      <c r="M197" s="341"/>
      <c r="N197" s="334"/>
      <c r="O197" s="1624"/>
      <c r="P197" s="1624"/>
      <c r="AH197" s="1631">
        <v>0</v>
      </c>
    </row>
    <row s="1635" customFormat="1" customHeight="1" ht="0.75" hidden="1">
      <c r="A198" s="1780"/>
      <c r="B198" s="1780"/>
      <c r="C198" s="369" t="s">
        <v>1156</v>
      </c>
      <c r="D198" s="2462"/>
      <c r="E198" s="2204"/>
      <c r="F198" s="2383"/>
      <c r="G198" s="400"/>
      <c r="H198" s="1500"/>
      <c r="I198" s="651"/>
      <c r="J198" s="571"/>
      <c r="K198" s="1500"/>
      <c r="L198" s="214"/>
      <c r="M198" s="341"/>
      <c r="N198" s="334"/>
      <c r="O198" s="1624"/>
      <c r="P198" s="1624"/>
      <c r="AH198" s="1631">
        <v>0</v>
      </c>
    </row>
    <row s="1635" customFormat="1" customHeight="1" ht="18.75" hidden="1">
      <c r="A199" s="1780" t="s">
        <v>267</v>
      </c>
      <c r="B199" s="1780" t="s">
        <v>268</v>
      </c>
      <c r="C199" s="369"/>
      <c r="D199" s="2462"/>
      <c r="E199" s="2204"/>
      <c r="F199" s="2383" t="str">
        <f>INDEX(PT_DIFFERENTIATION_VTAR,MATCH(A199,PT_DIFFERENTIATION_VTAR_ID,0))</f>
        <v>Тариф на водоотведение</v>
      </c>
      <c r="G199" s="2427" t="str">
        <f>INDEX(PT_DIFFERENTIATION_NTAR,MATCH(B199,PT_DIFFERENTIATION_NTAR_ID,0))</f>
        <v/>
      </c>
      <c r="H199" s="1862"/>
      <c r="I199" s="1739"/>
      <c r="J199" s="1773"/>
      <c r="K199" s="1778"/>
      <c r="L199" s="1862" t="s">
        <v>308</v>
      </c>
      <c r="M199" s="341"/>
      <c r="N199" s="334"/>
      <c r="O199" s="1624"/>
      <c r="P199" s="1624"/>
      <c r="AH199" s="1631">
        <v>0</v>
      </c>
    </row>
    <row s="1635" customFormat="1" customHeight="1" ht="18.75" hidden="1">
      <c r="A200" s="1780"/>
      <c r="B200" s="1780"/>
      <c r="C200" s="369" t="s">
        <v>1149</v>
      </c>
      <c r="D200" s="2462"/>
      <c r="E200" s="2204"/>
      <c r="F200" s="2383"/>
      <c r="G200" s="2427"/>
      <c r="H200" s="1500"/>
      <c r="I200" s="651" t="s">
        <v>1148</v>
      </c>
      <c r="J200" s="571"/>
      <c r="K200" s="1500"/>
      <c r="L200" s="214"/>
      <c r="M200" s="341"/>
      <c r="N200" s="334"/>
      <c r="O200" s="1624"/>
      <c r="P200" s="1624"/>
      <c r="AH200" s="1631">
        <v>0</v>
      </c>
    </row>
    <row s="1635" customFormat="1" customHeight="1" ht="0.75" hidden="1">
      <c r="A201" s="1780"/>
      <c r="B201" s="1780"/>
      <c r="C201" s="369" t="s">
        <v>1156</v>
      </c>
      <c r="D201" s="2462"/>
      <c r="E201" s="2204"/>
      <c r="F201" s="2383"/>
      <c r="G201" s="400"/>
      <c r="H201" s="1500"/>
      <c r="I201" s="651"/>
      <c r="J201" s="571"/>
      <c r="K201" s="1500"/>
      <c r="L201" s="214"/>
      <c r="M201" s="341"/>
      <c r="N201" s="334"/>
      <c r="O201" s="1624"/>
      <c r="P201" s="1624"/>
      <c r="AH201" s="1631">
        <v>0</v>
      </c>
    </row>
    <row s="1635" customFormat="1" customHeight="1" ht="18.75" hidden="1">
      <c r="A202" s="1780" t="s">
        <v>272</v>
      </c>
      <c r="B202" s="1780" t="s">
        <v>273</v>
      </c>
      <c r="C202" s="369"/>
      <c r="D202" s="2462"/>
      <c r="E202" s="2204"/>
      <c r="F202" s="2383" t="str">
        <f>INDEX(PT_DIFFERENTIATION_VTAR,MATCH(A202,PT_DIFFERENTIATION_VTAR_ID,0))</f>
        <v>Тариф на транспортировку сточных вод</v>
      </c>
      <c r="G202" s="2427" t="str">
        <f>INDEX(PT_DIFFERENTIATION_NTAR,MATCH(B202,PT_DIFFERENTIATION_NTAR_ID,0))</f>
        <v/>
      </c>
      <c r="H202" s="1862"/>
      <c r="I202" s="1739"/>
      <c r="J202" s="1773"/>
      <c r="K202" s="1778"/>
      <c r="L202" s="1862" t="s">
        <v>308</v>
      </c>
      <c r="M202" s="341"/>
      <c r="N202" s="334"/>
      <c r="O202" s="1624"/>
      <c r="P202" s="1624"/>
      <c r="AH202" s="1631">
        <v>0</v>
      </c>
    </row>
    <row s="1635" customFormat="1" customHeight="1" ht="18.75" hidden="1">
      <c r="A203" s="1780"/>
      <c r="B203" s="1780"/>
      <c r="C203" s="369" t="s">
        <v>1149</v>
      </c>
      <c r="D203" s="2462"/>
      <c r="E203" s="2204"/>
      <c r="F203" s="2383"/>
      <c r="G203" s="2427"/>
      <c r="H203" s="1500"/>
      <c r="I203" s="651" t="s">
        <v>1148</v>
      </c>
      <c r="J203" s="571"/>
      <c r="K203" s="1500"/>
      <c r="L203" s="214"/>
      <c r="M203" s="341"/>
      <c r="N203" s="334"/>
      <c r="O203" s="1624"/>
      <c r="P203" s="1624"/>
      <c r="AH203" s="1631">
        <v>0</v>
      </c>
    </row>
    <row s="1635" customFormat="1" customHeight="1" ht="0.75" hidden="1">
      <c r="A204" s="1780"/>
      <c r="B204" s="1780"/>
      <c r="C204" s="369" t="s">
        <v>1156</v>
      </c>
      <c r="D204" s="2462"/>
      <c r="E204" s="2204"/>
      <c r="F204" s="2383"/>
      <c r="G204" s="400"/>
      <c r="H204" s="1500"/>
      <c r="I204" s="651"/>
      <c r="J204" s="571"/>
      <c r="K204" s="1500"/>
      <c r="L204" s="214"/>
      <c r="M204" s="341"/>
      <c r="N204" s="334"/>
      <c r="O204" s="1624"/>
      <c r="P204" s="1624"/>
      <c r="AH204" s="1631">
        <v>0</v>
      </c>
    </row>
    <row s="1635" customFormat="1" customHeight="1" ht="18.75" hidden="1">
      <c r="A205" s="1780" t="s">
        <v>277</v>
      </c>
      <c r="B205" s="1780" t="s">
        <v>278</v>
      </c>
      <c r="C205" s="369"/>
      <c r="D205" s="2462"/>
      <c r="E205" s="2204"/>
      <c r="F205" s="2383" t="str">
        <f>INDEX(PT_DIFFERENTIATION_VTAR,MATCH(A205,PT_DIFFERENTIATION_VTAR_ID,0))</f>
        <v>Тариф на подключение (технологическое присоединение) к централизованной системе водоотведения</v>
      </c>
      <c r="G205" s="2427" t="str">
        <f>INDEX(PT_DIFFERENTIATION_NTAR,MATCH(B205,PT_DIFFERENTIATION_NTAR_ID,0))</f>
        <v/>
      </c>
      <c r="H205" s="1862"/>
      <c r="I205" s="1739"/>
      <c r="J205" s="1773"/>
      <c r="K205" s="1778"/>
      <c r="L205" s="1862" t="s">
        <v>308</v>
      </c>
      <c r="M205" s="341"/>
      <c r="N205" s="334"/>
      <c r="O205" s="1624"/>
      <c r="P205" s="1624"/>
      <c r="AH205" s="1631">
        <v>0</v>
      </c>
    </row>
    <row s="1635" customFormat="1" customHeight="1" ht="18.75" hidden="1">
      <c r="A206" s="1780"/>
      <c r="B206" s="1780"/>
      <c r="C206" s="369" t="s">
        <v>1149</v>
      </c>
      <c r="D206" s="2462"/>
      <c r="E206" s="2204"/>
      <c r="F206" s="2383"/>
      <c r="G206" s="2427"/>
      <c r="H206" s="1500"/>
      <c r="I206" s="651" t="s">
        <v>1148</v>
      </c>
      <c r="J206" s="571"/>
      <c r="K206" s="1500"/>
      <c r="L206" s="214"/>
      <c r="M206" s="341"/>
      <c r="N206" s="334"/>
      <c r="O206" s="1624"/>
      <c r="P206" s="1624"/>
      <c r="AH206" s="1631">
        <v>0</v>
      </c>
    </row>
    <row s="1635" customFormat="1" customHeight="1" ht="1.05">
      <c r="A207" s="1780"/>
      <c r="B207" s="1780"/>
      <c r="C207" s="369" t="s">
        <v>1156</v>
      </c>
      <c r="D207" s="2462"/>
      <c r="E207" s="2204"/>
      <c r="F207" s="2383"/>
      <c r="G207" s="400"/>
      <c r="H207" s="1500"/>
      <c r="I207" s="651"/>
      <c r="J207" s="571"/>
      <c r="K207" s="1500"/>
      <c r="L207" s="214"/>
      <c r="M207" s="341"/>
      <c r="N207" s="334"/>
      <c r="O207" s="1624"/>
      <c r="P207" s="1624"/>
      <c r="AH207" s="1631">
        <v>1</v>
      </c>
    </row>
    <row customHeight="1" ht="27.299999999999997">
      <c r="A208" s="1780"/>
      <c r="B208" s="1780"/>
      <c r="D208" s="376"/>
      <c r="E208" s="147" t="s">
        <v>111</v>
      </c>
      <c r="F208" s="2460" t="str">
        <f>IF(TEMPLATE_SPHERE="HEAT","Размер недополученных доходов регулируемой организацией (при их наличии), исчисленный в соответствии с Основами ценообразования в сфере теплоснабжения,"&amp;" утвержденными постановлением Правительства Российской Федерации от 22 октября 2012 г. N 1075 ""О ценообразовании в сфере теплоснабжения""","Размер недополученных доходов организации холодного водоснабжения (при их наличии), исчисленных в соответствии с Основами ценообразования в сфере водоснабжения и водоотведения")</f>
        <v>Размер недополученных доходов регулируемой организацией (при их наличии), исчисленный в соответствии с Основами ценообразования в сфере теплоснабжения, утвержденными постановлением Правительства Российской Федерации от 22 октября 2012 г. N 1075 "О ценообразовании в сфере теплоснабжения"</v>
      </c>
      <c r="G208" s="2460"/>
      <c r="H208" s="2460"/>
      <c r="I208" s="2460"/>
      <c r="J208" s="2460"/>
      <c r="K208" s="2460"/>
      <c r="L208" s="2460"/>
      <c r="M208" s="297"/>
      <c r="N208" s="334"/>
      <c r="AH208" s="374">
        <v>26</v>
      </c>
    </row>
    <row s="1635" customFormat="1" customHeight="1" ht="60.75" hidden="1">
      <c r="A209" s="1780" t="s">
        <v>159</v>
      </c>
      <c r="B209" s="1780" t="s">
        <v>160</v>
      </c>
      <c r="C209" s="369"/>
      <c r="D209" s="2462"/>
      <c r="E209" s="2204"/>
      <c r="F209" s="2383" t="str">
        <f>INDEX(PT_DIFFERENTIATION_VTAR,MATCH(A209,PT_DIFFERENTIATION_VTAR_ID,0))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209" s="2427" t="str">
        <f>INDEX(PT_DIFFERENTIATION_NTAR,MATCH(B209,PT_DIFFERENTIATION_NTAR_ID,0))</f>
        <v/>
      </c>
      <c r="H209" s="1862"/>
      <c r="I209" s="1739"/>
      <c r="J209" s="1773"/>
      <c r="K209" s="1778"/>
      <c r="L209" s="1862" t="s">
        <v>308</v>
      </c>
      <c r="M209" s="2169"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Величина недополученных доходов регулируемой организации указывается в колонке «Информация» в тыс. руб.
В случае отсутствия недополученных доходов организацией "&amp;IF(TEMPLATE_SPHERE="HEAT","регулируемой организацией",TEMPLATE_SPHERE_RUS)&amp;", исчисленных в соответствии с законодательством в сфере "&amp;IF(TEMPLATE_SPHERE="HEAT","теплоснабжения","водоснабжения и водоотведения")&amp;", указывается значение «0».
В случае дифференциации недополученных доходов организацией "&amp;TEMPLATE_SPHERE_RUS&amp;" по видам тарифов и/или по срокам действия тарифов информация указывается в отдельных строках."</f>
        <v>Значение в колонке «Вид тарифа» выбирается из перечня видов тарифов в сфере теплоснабжения, предусмотренных законодательством в сфере теплоснабжения.
Даты начала и окончания срока действия тарифов указываются в виде «ДД.ММ.ГГГГ».
Величина недополученных доходов регулируемой организации указывается в колонке «Информация» в тыс. руб.
В случае отсутствия недополученных доходов организацией регулируемой организацией, исчисленных в соответствии с законодательством в сфере теплоснабжения, указывается значение «0».
В случае дифференциации недополученных доходов организацией теплоснабжения по видам тарифов и/или по срокам действия тарифов информация указывается в отдельных строках.</v>
      </c>
      <c r="N209" s="334"/>
      <c r="O209" s="1624"/>
      <c r="P209" s="1624"/>
      <c r="AH209" s="1631">
        <v>0</v>
      </c>
    </row>
    <row s="1635" customFormat="1" customHeight="1" ht="18.75" hidden="1">
      <c r="A210" s="1780"/>
      <c r="B210" s="1780"/>
      <c r="C210" s="369" t="s">
        <v>1149</v>
      </c>
      <c r="D210" s="2462"/>
      <c r="E210" s="2204"/>
      <c r="F210" s="2383"/>
      <c r="G210" s="2427"/>
      <c r="H210" s="1500"/>
      <c r="I210" s="651" t="s">
        <v>1148</v>
      </c>
      <c r="J210" s="571"/>
      <c r="K210" s="1500"/>
      <c r="L210" s="214"/>
      <c r="M210" s="2170"/>
      <c r="N210" s="334"/>
      <c r="O210" s="1624"/>
      <c r="P210" s="1624"/>
      <c r="AH210" s="1631">
        <v>0</v>
      </c>
    </row>
    <row s="1635" customFormat="1" customHeight="1" ht="0.75" hidden="1">
      <c r="A211" s="1780"/>
      <c r="B211" s="1780"/>
      <c r="C211" s="369" t="s">
        <v>1156</v>
      </c>
      <c r="D211" s="2462"/>
      <c r="E211" s="2204"/>
      <c r="F211" s="2383"/>
      <c r="G211" s="400"/>
      <c r="H211" s="1500"/>
      <c r="I211" s="651"/>
      <c r="J211" s="571"/>
      <c r="K211" s="1500"/>
      <c r="L211" s="214"/>
      <c r="M211" s="2170"/>
      <c r="N211" s="334"/>
      <c r="O211" s="1624"/>
      <c r="P211" s="1624"/>
      <c r="AH211" s="1631">
        <v>0</v>
      </c>
    </row>
    <row s="1635" customFormat="1" customHeight="1" ht="45" hidden="1">
      <c r="A212" s="1780" t="s">
        <v>164</v>
      </c>
      <c r="B212" s="1780" t="s">
        <v>165</v>
      </c>
      <c r="C212" s="369"/>
      <c r="D212" s="2462"/>
      <c r="E212" s="2204"/>
      <c r="F212" s="2383" t="str">
        <f>INDEX(PT_DIFFERENTIATION_VTAR,MATCH(A212,PT_DIFFERENTIATION_VTAR_ID,0))</f>
        <v/>
      </c>
      <c r="G212" s="2427" t="str">
        <f>INDEX(PT_DIFFERENTIATION_NTAR,MATCH(B212,PT_DIFFERENTIATION_NTAR_ID,0))</f>
        <v/>
      </c>
      <c r="H212" s="1862"/>
      <c r="I212" s="1739"/>
      <c r="J212" s="1773"/>
      <c r="K212" s="1778"/>
      <c r="L212" s="1862" t="s">
        <v>308</v>
      </c>
      <c r="M212" s="2171"/>
      <c r="N212" s="334"/>
      <c r="O212" s="1624"/>
      <c r="P212" s="1624"/>
      <c r="AH212" s="1631">
        <v>0</v>
      </c>
    </row>
    <row s="1635" customFormat="1" customHeight="1" ht="18.75" hidden="1">
      <c r="A213" s="1780"/>
      <c r="B213" s="1780"/>
      <c r="C213" s="369" t="s">
        <v>1149</v>
      </c>
      <c r="D213" s="2462"/>
      <c r="E213" s="2204"/>
      <c r="F213" s="2383"/>
      <c r="G213" s="2427"/>
      <c r="H213" s="1500"/>
      <c r="I213" s="651" t="s">
        <v>1148</v>
      </c>
      <c r="J213" s="571"/>
      <c r="K213" s="1500"/>
      <c r="L213" s="214"/>
      <c r="M213" s="1861"/>
      <c r="N213" s="334"/>
      <c r="O213" s="1624"/>
      <c r="P213" s="1624"/>
      <c r="AH213" s="1631">
        <v>0</v>
      </c>
    </row>
    <row s="1635" customFormat="1" customHeight="1" ht="0.75" hidden="1">
      <c r="A214" s="1780"/>
      <c r="B214" s="1780"/>
      <c r="C214" s="369" t="s">
        <v>1156</v>
      </c>
      <c r="D214" s="2462"/>
      <c r="E214" s="2204"/>
      <c r="F214" s="2383"/>
      <c r="G214" s="400"/>
      <c r="H214" s="1500"/>
      <c r="I214" s="651"/>
      <c r="J214" s="571"/>
      <c r="K214" s="1500"/>
      <c r="L214" s="214"/>
      <c r="M214" s="341"/>
      <c r="N214" s="334"/>
      <c r="O214" s="1624"/>
      <c r="P214" s="1624"/>
      <c r="AH214" s="1631">
        <v>0</v>
      </c>
    </row>
    <row s="1635" customFormat="1" customHeight="1" ht="45" hidden="1">
      <c r="A215" s="1780" t="s">
        <v>171</v>
      </c>
      <c r="B215" s="1780" t="s">
        <v>172</v>
      </c>
      <c r="C215" s="369"/>
      <c r="D215" s="2462"/>
      <c r="E215" s="2204"/>
      <c r="F215" s="2383" t="str">
        <f>INDEX(PT_DIFFERENTIATION_VTAR,MATCH(A215,PT_DIFFERENTIATION_VTAR_ID,0))</f>
        <v>Тарифы на теплоноситель, поставляемый теплоснабжающими организациями потребителям, другим теплоснабжающим организациям</v>
      </c>
      <c r="G215" s="2427" t="str">
        <f>INDEX(PT_DIFFERENTIATION_NTAR,MATCH(B215,PT_DIFFERENTIATION_NTAR_ID,0))</f>
        <v/>
      </c>
      <c r="H215" s="1862"/>
      <c r="I215" s="1739"/>
      <c r="J215" s="1773"/>
      <c r="K215" s="1778"/>
      <c r="L215" s="1862" t="s">
        <v>308</v>
      </c>
      <c r="M215" s="341"/>
      <c r="N215" s="334"/>
      <c r="O215" s="1624"/>
      <c r="P215" s="1624"/>
      <c r="AH215" s="1631">
        <v>0</v>
      </c>
    </row>
    <row s="1635" customFormat="1" customHeight="1" ht="18.75" hidden="1">
      <c r="A216" s="1780"/>
      <c r="B216" s="1780"/>
      <c r="C216" s="369" t="s">
        <v>1149</v>
      </c>
      <c r="D216" s="2462"/>
      <c r="E216" s="2204"/>
      <c r="F216" s="2383"/>
      <c r="G216" s="2427"/>
      <c r="H216" s="1500"/>
      <c r="I216" s="651" t="s">
        <v>1148</v>
      </c>
      <c r="J216" s="571"/>
      <c r="K216" s="1500"/>
      <c r="L216" s="214"/>
      <c r="M216" s="341"/>
      <c r="N216" s="334"/>
      <c r="O216" s="1624"/>
      <c r="P216" s="1624"/>
      <c r="AH216" s="1631">
        <v>0</v>
      </c>
    </row>
    <row s="1635" customFormat="1" customHeight="1" ht="0.75" hidden="1">
      <c r="A217" s="1780"/>
      <c r="B217" s="1780"/>
      <c r="C217" s="369" t="s">
        <v>1156</v>
      </c>
      <c r="D217" s="2462"/>
      <c r="E217" s="2204"/>
      <c r="F217" s="2383"/>
      <c r="G217" s="400"/>
      <c r="H217" s="1500"/>
      <c r="I217" s="651"/>
      <c r="J217" s="571"/>
      <c r="K217" s="1500"/>
      <c r="L217" s="214"/>
      <c r="M217" s="341"/>
      <c r="N217" s="334"/>
      <c r="O217" s="1624"/>
      <c r="P217" s="1624"/>
      <c r="AH217" s="1631">
        <v>0</v>
      </c>
    </row>
    <row s="1635" customFormat="1" customHeight="1" ht="45" hidden="1">
      <c r="A218" s="1780" t="s">
        <v>177</v>
      </c>
      <c r="B218" s="1780" t="s">
        <v>178</v>
      </c>
      <c r="C218" s="369"/>
      <c r="D218" s="2462"/>
      <c r="E218" s="2204"/>
      <c r="F218" s="2383" t="str">
        <f>INDEX(PT_DIFFERENTIATION_VTAR,MATCH(A218,PT_DIFFERENTIATION_VTAR_ID,0))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218" s="2427" t="str">
        <f>INDEX(PT_DIFFERENTIATION_NTAR,MATCH(B218,PT_DIFFERENTIATION_NTAR_ID,0))</f>
        <v/>
      </c>
      <c r="H218" s="1862"/>
      <c r="I218" s="1739"/>
      <c r="J218" s="1773"/>
      <c r="K218" s="1778"/>
      <c r="L218" s="1862" t="s">
        <v>308</v>
      </c>
      <c r="M218" s="341"/>
      <c r="N218" s="334"/>
      <c r="O218" s="1624"/>
      <c r="P218" s="1624"/>
      <c r="AH218" s="1631">
        <v>0</v>
      </c>
    </row>
    <row s="1635" customFormat="1" customHeight="1" ht="18.75" hidden="1">
      <c r="A219" s="1780"/>
      <c r="B219" s="1780"/>
      <c r="C219" s="369" t="s">
        <v>1149</v>
      </c>
      <c r="D219" s="2462"/>
      <c r="E219" s="2204"/>
      <c r="F219" s="2383"/>
      <c r="G219" s="2427"/>
      <c r="H219" s="1500"/>
      <c r="I219" s="651" t="s">
        <v>1148</v>
      </c>
      <c r="J219" s="571"/>
      <c r="K219" s="1500"/>
      <c r="L219" s="214"/>
      <c r="M219" s="341"/>
      <c r="N219" s="334"/>
      <c r="O219" s="1624"/>
      <c r="P219" s="1624"/>
      <c r="AH219" s="1631">
        <v>0</v>
      </c>
    </row>
    <row s="1635" customFormat="1" customHeight="1" ht="0.75" hidden="1">
      <c r="A220" s="1780"/>
      <c r="B220" s="1780"/>
      <c r="C220" s="369" t="s">
        <v>1156</v>
      </c>
      <c r="D220" s="2462"/>
      <c r="E220" s="2204"/>
      <c r="F220" s="2383"/>
      <c r="G220" s="400"/>
      <c r="H220" s="1500"/>
      <c r="I220" s="651"/>
      <c r="J220" s="571"/>
      <c r="K220" s="1500"/>
      <c r="L220" s="214"/>
      <c r="M220" s="341"/>
      <c r="N220" s="334"/>
      <c r="O220" s="1624"/>
      <c r="P220" s="1624"/>
      <c r="AH220" s="1631">
        <v>0</v>
      </c>
    </row>
    <row s="1635" customFormat="1" customHeight="1" ht="18.75" hidden="1">
      <c r="A221" s="1780" t="s">
        <v>183</v>
      </c>
      <c r="B221" s="1780" t="s">
        <v>184</v>
      </c>
      <c r="C221" s="369"/>
      <c r="D221" s="2462"/>
      <c r="E221" s="2204"/>
      <c r="F221" s="2383" t="str">
        <f>INDEX(PT_DIFFERENTIATION_VTAR,MATCH(A221,PT_DIFFERENTIATION_VTAR_ID,0))</f>
        <v>Тарифы на услуги по передаче тепловой энергии</v>
      </c>
      <c r="G221" s="2427" t="str">
        <f>INDEX(PT_DIFFERENTIATION_NTAR,MATCH(B221,PT_DIFFERENTIATION_NTAR_ID,0))</f>
        <v/>
      </c>
      <c r="H221" s="1862"/>
      <c r="I221" s="1739"/>
      <c r="J221" s="1773"/>
      <c r="K221" s="1778"/>
      <c r="L221" s="1862" t="s">
        <v>308</v>
      </c>
      <c r="M221" s="341"/>
      <c r="N221" s="334"/>
      <c r="O221" s="1624"/>
      <c r="P221" s="1624"/>
      <c r="AH221" s="1631">
        <v>0</v>
      </c>
    </row>
    <row s="1635" customFormat="1" customHeight="1" ht="18.75" hidden="1">
      <c r="A222" s="1780"/>
      <c r="B222" s="1780"/>
      <c r="C222" s="369" t="s">
        <v>1149</v>
      </c>
      <c r="D222" s="2462"/>
      <c r="E222" s="2204"/>
      <c r="F222" s="2383"/>
      <c r="G222" s="2427"/>
      <c r="H222" s="1500"/>
      <c r="I222" s="651" t="s">
        <v>1148</v>
      </c>
      <c r="J222" s="571"/>
      <c r="K222" s="1500"/>
      <c r="L222" s="214"/>
      <c r="M222" s="341"/>
      <c r="N222" s="334"/>
      <c r="O222" s="1624"/>
      <c r="P222" s="1624"/>
      <c r="AH222" s="1631">
        <v>0</v>
      </c>
    </row>
    <row s="1635" customFormat="1" customHeight="1" ht="0.75" hidden="1">
      <c r="A223" s="1780"/>
      <c r="B223" s="1780"/>
      <c r="C223" s="369" t="s">
        <v>1156</v>
      </c>
      <c r="D223" s="2462"/>
      <c r="E223" s="2204"/>
      <c r="F223" s="2383"/>
      <c r="G223" s="400"/>
      <c r="H223" s="1500"/>
      <c r="I223" s="651"/>
      <c r="J223" s="571"/>
      <c r="K223" s="1500"/>
      <c r="L223" s="214"/>
      <c r="M223" s="341"/>
      <c r="N223" s="334"/>
      <c r="O223" s="1624"/>
      <c r="P223" s="1624"/>
      <c r="AH223" s="1631">
        <v>0</v>
      </c>
    </row>
    <row s="1635" customFormat="1" customHeight="1" ht="18.75" hidden="1">
      <c r="A224" s="1780" t="s">
        <v>189</v>
      </c>
      <c r="B224" s="1780" t="s">
        <v>190</v>
      </c>
      <c r="C224" s="369"/>
      <c r="D224" s="2462"/>
      <c r="E224" s="2204"/>
      <c r="F224" s="2383" t="str">
        <f>INDEX(PT_DIFFERENTIATION_VTAR,MATCH(A224,PT_DIFFERENTIATION_VTAR_ID,0))</f>
        <v>Тарифы на услуги по передаче теплоносителя</v>
      </c>
      <c r="G224" s="2427" t="str">
        <f>INDEX(PT_DIFFERENTIATION_NTAR,MATCH(B224,PT_DIFFERENTIATION_NTAR_ID,0))</f>
        <v/>
      </c>
      <c r="H224" s="1862"/>
      <c r="I224" s="1739"/>
      <c r="J224" s="1773"/>
      <c r="K224" s="1778"/>
      <c r="L224" s="1862" t="s">
        <v>308</v>
      </c>
      <c r="M224" s="341"/>
      <c r="N224" s="334"/>
      <c r="O224" s="1624"/>
      <c r="P224" s="1624"/>
      <c r="AH224" s="1631">
        <v>0</v>
      </c>
    </row>
    <row s="1635" customFormat="1" customHeight="1" ht="18.75" hidden="1">
      <c r="A225" s="1780"/>
      <c r="B225" s="1780"/>
      <c r="C225" s="369" t="s">
        <v>1149</v>
      </c>
      <c r="D225" s="2462"/>
      <c r="E225" s="2204"/>
      <c r="F225" s="2383"/>
      <c r="G225" s="2427"/>
      <c r="H225" s="1500"/>
      <c r="I225" s="651" t="s">
        <v>1148</v>
      </c>
      <c r="J225" s="571"/>
      <c r="K225" s="1500"/>
      <c r="L225" s="214"/>
      <c r="M225" s="341"/>
      <c r="N225" s="334"/>
      <c r="O225" s="1624"/>
      <c r="P225" s="1624"/>
      <c r="AH225" s="1631">
        <v>0</v>
      </c>
    </row>
    <row s="1635" customFormat="1" customHeight="1" ht="0.75" hidden="1">
      <c r="A226" s="1780"/>
      <c r="B226" s="1780"/>
      <c r="C226" s="369" t="s">
        <v>1156</v>
      </c>
      <c r="D226" s="2462"/>
      <c r="E226" s="2204"/>
      <c r="F226" s="2383"/>
      <c r="G226" s="400"/>
      <c r="H226" s="1500"/>
      <c r="I226" s="651"/>
      <c r="J226" s="571"/>
      <c r="K226" s="1500"/>
      <c r="L226" s="214"/>
      <c r="M226" s="341"/>
      <c r="N226" s="334"/>
      <c r="O226" s="1624"/>
      <c r="P226" s="1624"/>
      <c r="AH226" s="1631">
        <v>0</v>
      </c>
    </row>
    <row s="1635" customFormat="1" customHeight="1" ht="18.75" hidden="1">
      <c r="A227" s="1780" t="s">
        <v>195</v>
      </c>
      <c r="B227" s="1780" t="s">
        <v>196</v>
      </c>
      <c r="C227" s="369"/>
      <c r="D227" s="2462"/>
      <c r="E227" s="2204"/>
      <c r="F227" s="2383" t="str">
        <f>INDEX(PT_DIFFERENTIATION_VTAR,MATCH(A227,PT_DIFFERENTIATION_VTAR_ID,0))</f>
        <v>Плата за услуги по поддержанию резервной тепловой мощности при отсутствии потребления тепловой энергии</v>
      </c>
      <c r="G227" s="2427" t="str">
        <f>INDEX(PT_DIFFERENTIATION_NTAR,MATCH(B227,PT_DIFFERENTIATION_NTAR_ID,0))</f>
        <v/>
      </c>
      <c r="H227" s="1862"/>
      <c r="I227" s="1739"/>
      <c r="J227" s="1773"/>
      <c r="K227" s="1778"/>
      <c r="L227" s="1862" t="s">
        <v>308</v>
      </c>
      <c r="M227" s="341"/>
      <c r="N227" s="334"/>
      <c r="O227" s="1624"/>
      <c r="P227" s="1624"/>
      <c r="AH227" s="1631">
        <v>0</v>
      </c>
    </row>
    <row s="1635" customFormat="1" customHeight="1" ht="18.75" hidden="1">
      <c r="A228" s="1780"/>
      <c r="B228" s="1780"/>
      <c r="C228" s="369" t="s">
        <v>1149</v>
      </c>
      <c r="D228" s="2462"/>
      <c r="E228" s="2204"/>
      <c r="F228" s="2383"/>
      <c r="G228" s="2427"/>
      <c r="H228" s="1500"/>
      <c r="I228" s="651" t="s">
        <v>1148</v>
      </c>
      <c r="J228" s="571"/>
      <c r="K228" s="1500"/>
      <c r="L228" s="214"/>
      <c r="M228" s="341"/>
      <c r="N228" s="334"/>
      <c r="O228" s="1624"/>
      <c r="P228" s="1624"/>
      <c r="AH228" s="1631">
        <v>0</v>
      </c>
    </row>
    <row s="1635" customFormat="1" customHeight="1" ht="0.75" hidden="1">
      <c r="A229" s="1780"/>
      <c r="B229" s="1780"/>
      <c r="C229" s="369" t="s">
        <v>1156</v>
      </c>
      <c r="D229" s="2462"/>
      <c r="E229" s="2204"/>
      <c r="F229" s="2383"/>
      <c r="G229" s="400"/>
      <c r="H229" s="1500"/>
      <c r="I229" s="651"/>
      <c r="J229" s="571"/>
      <c r="K229" s="1500"/>
      <c r="L229" s="214"/>
      <c r="M229" s="341"/>
      <c r="N229" s="334"/>
      <c r="O229" s="1624"/>
      <c r="P229" s="1624"/>
      <c r="AH229" s="1631">
        <v>0</v>
      </c>
    </row>
    <row s="1635" customFormat="1" customHeight="1" ht="18.75" hidden="1">
      <c r="A230" s="1780" t="s">
        <v>201</v>
      </c>
      <c r="B230" s="1780" t="s">
        <v>202</v>
      </c>
      <c r="C230" s="369"/>
      <c r="D230" s="2462"/>
      <c r="E230" s="2204"/>
      <c r="F230" s="2383" t="str">
        <f>INDEX(PT_DIFFERENTIATION_VTAR,MATCH(A230,PT_DIFFERENTIATION_VTAR_ID,0))</f>
        <v>Плата за подключение (технологическое присоединение) к системе теплоснабжения</v>
      </c>
      <c r="G230" s="2427" t="str">
        <f>INDEX(PT_DIFFERENTIATION_NTAR,MATCH(B230,PT_DIFFERENTIATION_NTAR_ID,0))</f>
        <v/>
      </c>
      <c r="H230" s="1862"/>
      <c r="I230" s="1739"/>
      <c r="J230" s="1773"/>
      <c r="K230" s="1778"/>
      <c r="L230" s="1862" t="s">
        <v>308</v>
      </c>
      <c r="M230" s="341"/>
      <c r="N230" s="334"/>
      <c r="O230" s="1624"/>
      <c r="P230" s="1624"/>
      <c r="AH230" s="1631">
        <v>0</v>
      </c>
    </row>
    <row s="1635" customFormat="1" customHeight="1" ht="18.75" hidden="1">
      <c r="A231" s="1780"/>
      <c r="B231" s="1780"/>
      <c r="C231" s="369" t="s">
        <v>1149</v>
      </c>
      <c r="D231" s="2462"/>
      <c r="E231" s="2204"/>
      <c r="F231" s="2383"/>
      <c r="G231" s="2427"/>
      <c r="H231" s="1500"/>
      <c r="I231" s="651" t="s">
        <v>1148</v>
      </c>
      <c r="J231" s="571"/>
      <c r="K231" s="1500"/>
      <c r="L231" s="214"/>
      <c r="M231" s="341"/>
      <c r="N231" s="334"/>
      <c r="O231" s="1624"/>
      <c r="P231" s="1624"/>
      <c r="AH231" s="1631">
        <v>0</v>
      </c>
    </row>
    <row s="1635" customFormat="1" customHeight="1" ht="0.75" hidden="1">
      <c r="A232" s="1780"/>
      <c r="B232" s="1780"/>
      <c r="C232" s="369" t="s">
        <v>1156</v>
      </c>
      <c r="D232" s="2462"/>
      <c r="E232" s="2204"/>
      <c r="F232" s="2383"/>
      <c r="G232" s="400"/>
      <c r="H232" s="1500"/>
      <c r="I232" s="651"/>
      <c r="J232" s="571"/>
      <c r="K232" s="1500"/>
      <c r="L232" s="214"/>
      <c r="M232" s="341"/>
      <c r="N232" s="334"/>
      <c r="O232" s="1624"/>
      <c r="P232" s="1624"/>
      <c r="AH232" s="1631">
        <v>0</v>
      </c>
    </row>
    <row s="1635" customFormat="1" customHeight="1" ht="18.75" hidden="1">
      <c r="A233" s="1780" t="s">
        <v>207</v>
      </c>
      <c r="B233" s="1780" t="s">
        <v>208</v>
      </c>
      <c r="C233" s="369"/>
      <c r="D233" s="2462"/>
      <c r="E233" s="2204"/>
      <c r="F233" s="2383" t="str">
        <f>INDEX(PT_DIFFERENTIATION_VTAR,MATCH(A233,PT_DIFFERENTIATION_VTAR_ID,0))</f>
        <v>Плата за подключение (технологическое присоединение) к системе теплоснабжения (индивидуальная)</v>
      </c>
      <c r="G233" s="2427" t="str">
        <f>INDEX(PT_DIFFERENTIATION_NTAR,MATCH(B233,PT_DIFFERENTIATION_NTAR_ID,0))</f>
        <v/>
      </c>
      <c r="H233" s="1989"/>
      <c r="I233" s="1739"/>
      <c r="J233" s="1773"/>
      <c r="K233" s="1778"/>
      <c r="L233" s="1989" t="s">
        <v>308</v>
      </c>
      <c r="M233" s="341"/>
      <c r="N233" s="334"/>
      <c r="O233" s="1624"/>
      <c r="P233" s="1624"/>
      <c r="AH233" s="1631">
        <v>0</v>
      </c>
    </row>
    <row s="1635" customFormat="1" customHeight="1" ht="18.75" hidden="1">
      <c r="A234" s="1780"/>
      <c r="B234" s="1780"/>
      <c r="C234" s="369" t="s">
        <v>1149</v>
      </c>
      <c r="D234" s="2462"/>
      <c r="E234" s="2204"/>
      <c r="F234" s="2383"/>
      <c r="G234" s="2427"/>
      <c r="H234" s="1500"/>
      <c r="I234" s="651" t="s">
        <v>1148</v>
      </c>
      <c r="J234" s="571"/>
      <c r="K234" s="1500"/>
      <c r="L234" s="214"/>
      <c r="M234" s="341"/>
      <c r="N234" s="334"/>
      <c r="O234" s="1624"/>
      <c r="P234" s="1624"/>
      <c r="AH234" s="1631">
        <v>0</v>
      </c>
    </row>
    <row s="1635" customFormat="1" customHeight="1" ht="0.75" hidden="1">
      <c r="A235" s="1780"/>
      <c r="B235" s="1780"/>
      <c r="C235" s="369" t="s">
        <v>1156</v>
      </c>
      <c r="D235" s="2462"/>
      <c r="E235" s="2204"/>
      <c r="F235" s="2383"/>
      <c r="G235" s="400"/>
      <c r="H235" s="1500"/>
      <c r="I235" s="651"/>
      <c r="J235" s="571"/>
      <c r="K235" s="1500"/>
      <c r="L235" s="214"/>
      <c r="M235" s="341"/>
      <c r="N235" s="334"/>
      <c r="O235" s="1624"/>
      <c r="P235" s="1624"/>
      <c r="AH235" s="1631">
        <v>0</v>
      </c>
    </row>
    <row s="1635" customFormat="1" customHeight="1" ht="18.75" hidden="1">
      <c r="A236" s="1780" t="s">
        <v>227</v>
      </c>
      <c r="B236" s="1780" t="s">
        <v>228</v>
      </c>
      <c r="C236" s="369"/>
      <c r="D236" s="2462"/>
      <c r="E236" s="2204"/>
      <c r="F236" s="2383" t="str">
        <f>INDEX(PT_DIFFERENTIATION_VTAR,MATCH(A236,PT_DIFFERENTIATION_VTAR_ID,0))</f>
        <v>Тариф на питьевую воду (питьевое водоснабжение)</v>
      </c>
      <c r="G236" s="2427" t="str">
        <f>INDEX(PT_DIFFERENTIATION_NTAR,MATCH(B236,PT_DIFFERENTIATION_NTAR_ID,0))</f>
        <v/>
      </c>
      <c r="H236" s="1862"/>
      <c r="I236" s="1739"/>
      <c r="J236" s="1773"/>
      <c r="K236" s="1778"/>
      <c r="L236" s="1862" t="s">
        <v>308</v>
      </c>
      <c r="M236" s="341"/>
      <c r="N236" s="334"/>
      <c r="O236" s="1624"/>
      <c r="P236" s="1624"/>
      <c r="AH236" s="1631">
        <v>0</v>
      </c>
    </row>
    <row s="1635" customFormat="1" customHeight="1" ht="18.75" hidden="1">
      <c r="A237" s="1780"/>
      <c r="B237" s="1780"/>
      <c r="C237" s="369" t="s">
        <v>1149</v>
      </c>
      <c r="D237" s="2462"/>
      <c r="E237" s="2204"/>
      <c r="F237" s="2383"/>
      <c r="G237" s="2427"/>
      <c r="H237" s="1500"/>
      <c r="I237" s="651" t="s">
        <v>1148</v>
      </c>
      <c r="J237" s="571"/>
      <c r="K237" s="1500"/>
      <c r="L237" s="214"/>
      <c r="M237" s="341"/>
      <c r="N237" s="334"/>
      <c r="O237" s="1624"/>
      <c r="P237" s="1624"/>
      <c r="AH237" s="1631">
        <v>0</v>
      </c>
    </row>
    <row s="1635" customFormat="1" customHeight="1" ht="0.75" hidden="1">
      <c r="A238" s="1780"/>
      <c r="B238" s="1780"/>
      <c r="C238" s="369" t="s">
        <v>1156</v>
      </c>
      <c r="D238" s="2462"/>
      <c r="E238" s="2204"/>
      <c r="F238" s="2383"/>
      <c r="G238" s="400"/>
      <c r="H238" s="1500"/>
      <c r="I238" s="651"/>
      <c r="J238" s="571"/>
      <c r="K238" s="1500"/>
      <c r="L238" s="214"/>
      <c r="M238" s="341"/>
      <c r="N238" s="334"/>
      <c r="O238" s="1624"/>
      <c r="P238" s="1624"/>
      <c r="AH238" s="1631">
        <v>0</v>
      </c>
    </row>
    <row s="1635" customFormat="1" customHeight="1" ht="18.75" hidden="1">
      <c r="A239" s="1780" t="s">
        <v>232</v>
      </c>
      <c r="B239" s="1780" t="s">
        <v>233</v>
      </c>
      <c r="C239" s="369"/>
      <c r="D239" s="2462"/>
      <c r="E239" s="2204"/>
      <c r="F239" s="2383" t="str">
        <f>INDEX(PT_DIFFERENTIATION_VTAR,MATCH(A239,PT_DIFFERENTIATION_VTAR_ID,0))</f>
        <v>Тариф на техническую воду</v>
      </c>
      <c r="G239" s="2427" t="str">
        <f>INDEX(PT_DIFFERENTIATION_NTAR,MATCH(B239,PT_DIFFERENTIATION_NTAR_ID,0))</f>
        <v/>
      </c>
      <c r="H239" s="1862"/>
      <c r="I239" s="1739"/>
      <c r="J239" s="1773"/>
      <c r="K239" s="1778"/>
      <c r="L239" s="1862" t="s">
        <v>308</v>
      </c>
      <c r="M239" s="341"/>
      <c r="N239" s="334"/>
      <c r="O239" s="1624"/>
      <c r="P239" s="1624"/>
      <c r="AH239" s="1631">
        <v>0</v>
      </c>
    </row>
    <row s="1635" customFormat="1" customHeight="1" ht="18.75" hidden="1">
      <c r="A240" s="1780"/>
      <c r="B240" s="1780"/>
      <c r="C240" s="369" t="s">
        <v>1149</v>
      </c>
      <c r="D240" s="2462"/>
      <c r="E240" s="2204"/>
      <c r="F240" s="2383"/>
      <c r="G240" s="2427"/>
      <c r="H240" s="1500"/>
      <c r="I240" s="651" t="s">
        <v>1148</v>
      </c>
      <c r="J240" s="571"/>
      <c r="K240" s="1500"/>
      <c r="L240" s="214"/>
      <c r="M240" s="341"/>
      <c r="N240" s="334"/>
      <c r="O240" s="1624"/>
      <c r="P240" s="1624"/>
      <c r="AH240" s="1631">
        <v>0</v>
      </c>
    </row>
    <row s="1635" customFormat="1" customHeight="1" ht="0.75" hidden="1">
      <c r="A241" s="1780"/>
      <c r="B241" s="1780"/>
      <c r="C241" s="369" t="s">
        <v>1156</v>
      </c>
      <c r="D241" s="2462"/>
      <c r="E241" s="2204"/>
      <c r="F241" s="2383"/>
      <c r="G241" s="400"/>
      <c r="H241" s="1500"/>
      <c r="I241" s="651"/>
      <c r="J241" s="571"/>
      <c r="K241" s="1500"/>
      <c r="L241" s="214"/>
      <c r="M241" s="341"/>
      <c r="N241" s="334"/>
      <c r="O241" s="1624"/>
      <c r="P241" s="1624"/>
      <c r="AH241" s="1631">
        <v>0</v>
      </c>
    </row>
    <row s="1635" customFormat="1" customHeight="1" ht="18.75" hidden="1">
      <c r="A242" s="1780" t="s">
        <v>237</v>
      </c>
      <c r="B242" s="1780" t="s">
        <v>238</v>
      </c>
      <c r="C242" s="369"/>
      <c r="D242" s="2462"/>
      <c r="E242" s="2204"/>
      <c r="F242" s="2383" t="str">
        <f>INDEX(PT_DIFFERENTIATION_VTAR,MATCH(A242,PT_DIFFERENTIATION_VTAR_ID,0))</f>
        <v>Тариф на транспортировку воды</v>
      </c>
      <c r="G242" s="2427" t="str">
        <f>INDEX(PT_DIFFERENTIATION_NTAR,MATCH(B242,PT_DIFFERENTIATION_NTAR_ID,0))</f>
        <v/>
      </c>
      <c r="H242" s="1862"/>
      <c r="I242" s="1739"/>
      <c r="J242" s="1773"/>
      <c r="K242" s="1778"/>
      <c r="L242" s="1862" t="s">
        <v>308</v>
      </c>
      <c r="M242" s="341"/>
      <c r="N242" s="334"/>
      <c r="O242" s="1624"/>
      <c r="P242" s="1624"/>
      <c r="AH242" s="1631">
        <v>0</v>
      </c>
    </row>
    <row s="1635" customFormat="1" customHeight="1" ht="18.75" hidden="1">
      <c r="A243" s="1780"/>
      <c r="B243" s="1780"/>
      <c r="C243" s="369" t="s">
        <v>1149</v>
      </c>
      <c r="D243" s="2462"/>
      <c r="E243" s="2204"/>
      <c r="F243" s="2383"/>
      <c r="G243" s="2427"/>
      <c r="H243" s="1500"/>
      <c r="I243" s="651" t="s">
        <v>1148</v>
      </c>
      <c r="J243" s="571"/>
      <c r="K243" s="1500"/>
      <c r="L243" s="214"/>
      <c r="M243" s="341"/>
      <c r="N243" s="334"/>
      <c r="O243" s="1624"/>
      <c r="P243" s="1624"/>
      <c r="AH243" s="1631">
        <v>0</v>
      </c>
    </row>
    <row s="1635" customFormat="1" customHeight="1" ht="0.75" hidden="1">
      <c r="A244" s="1780"/>
      <c r="B244" s="1780"/>
      <c r="C244" s="369" t="s">
        <v>1156</v>
      </c>
      <c r="D244" s="2462"/>
      <c r="E244" s="2204"/>
      <c r="F244" s="2383"/>
      <c r="G244" s="400"/>
      <c r="H244" s="1500"/>
      <c r="I244" s="651"/>
      <c r="J244" s="571"/>
      <c r="K244" s="1500"/>
      <c r="L244" s="214"/>
      <c r="M244" s="341"/>
      <c r="N244" s="334"/>
      <c r="O244" s="1624"/>
      <c r="P244" s="1624"/>
      <c r="AH244" s="1631">
        <v>0</v>
      </c>
    </row>
    <row s="1635" customFormat="1" customHeight="1" ht="18.75" hidden="1">
      <c r="A245" s="1780" t="s">
        <v>242</v>
      </c>
      <c r="B245" s="1780" t="s">
        <v>243</v>
      </c>
      <c r="C245" s="369"/>
      <c r="D245" s="2462"/>
      <c r="E245" s="2204"/>
      <c r="F245" s="2383" t="str">
        <f>INDEX(PT_DIFFERENTIATION_VTAR,MATCH(A245,PT_DIFFERENTIATION_VTAR_ID,0))</f>
        <v>Тариф на подвоз воды</v>
      </c>
      <c r="G245" s="2427" t="str">
        <f>INDEX(PT_DIFFERENTIATION_NTAR,MATCH(B245,PT_DIFFERENTIATION_NTAR_ID,0))</f>
        <v/>
      </c>
      <c r="H245" s="1862"/>
      <c r="I245" s="1739"/>
      <c r="J245" s="1773"/>
      <c r="K245" s="1778"/>
      <c r="L245" s="1862" t="s">
        <v>308</v>
      </c>
      <c r="M245" s="341"/>
      <c r="N245" s="334"/>
      <c r="O245" s="1624"/>
      <c r="P245" s="1624"/>
      <c r="AH245" s="1631">
        <v>0</v>
      </c>
    </row>
    <row s="1635" customFormat="1" customHeight="1" ht="18.75" hidden="1">
      <c r="A246" s="1780"/>
      <c r="B246" s="1780"/>
      <c r="C246" s="369" t="s">
        <v>1149</v>
      </c>
      <c r="D246" s="2462"/>
      <c r="E246" s="2204"/>
      <c r="F246" s="2383"/>
      <c r="G246" s="2427"/>
      <c r="H246" s="1500"/>
      <c r="I246" s="651" t="s">
        <v>1148</v>
      </c>
      <c r="J246" s="571"/>
      <c r="K246" s="1500"/>
      <c r="L246" s="214"/>
      <c r="M246" s="341"/>
      <c r="N246" s="334"/>
      <c r="O246" s="1624"/>
      <c r="P246" s="1624"/>
      <c r="AH246" s="1631">
        <v>0</v>
      </c>
    </row>
    <row s="1635" customFormat="1" customHeight="1" ht="0.75" hidden="1">
      <c r="A247" s="1780"/>
      <c r="B247" s="1780"/>
      <c r="C247" s="369" t="s">
        <v>1156</v>
      </c>
      <c r="D247" s="2462"/>
      <c r="E247" s="2204"/>
      <c r="F247" s="2383"/>
      <c r="G247" s="400"/>
      <c r="H247" s="1500"/>
      <c r="I247" s="651"/>
      <c r="J247" s="571"/>
      <c r="K247" s="1500"/>
      <c r="L247" s="214"/>
      <c r="M247" s="341"/>
      <c r="N247" s="334"/>
      <c r="O247" s="1624"/>
      <c r="P247" s="1624"/>
      <c r="AH247" s="1631">
        <v>0</v>
      </c>
    </row>
    <row s="1635" customFormat="1" customHeight="1" ht="18.75" hidden="1">
      <c r="A248" s="1780" t="s">
        <v>247</v>
      </c>
      <c r="B248" s="1780" t="s">
        <v>248</v>
      </c>
      <c r="C248" s="369"/>
      <c r="D248" s="2462"/>
      <c r="E248" s="2204"/>
      <c r="F248" s="2383" t="str">
        <f>INDEX(PT_DIFFERENTIATION_VTAR,MATCH(A248,PT_DIFFERENTIATION_VTAR_ID,0))</f>
        <v>Тариф на подключение (технологическое присоединение) к централизованной системе холодного водоснабжения</v>
      </c>
      <c r="G248" s="2427" t="str">
        <f>INDEX(PT_DIFFERENTIATION_NTAR,MATCH(B248,PT_DIFFERENTIATION_NTAR_ID,0))</f>
        <v/>
      </c>
      <c r="H248" s="1862"/>
      <c r="I248" s="1739"/>
      <c r="J248" s="1773"/>
      <c r="K248" s="1778"/>
      <c r="L248" s="1862" t="s">
        <v>308</v>
      </c>
      <c r="M248" s="341"/>
      <c r="N248" s="334"/>
      <c r="O248" s="1624"/>
      <c r="P248" s="1624"/>
      <c r="AH248" s="1631">
        <v>0</v>
      </c>
    </row>
    <row s="1635" customFormat="1" customHeight="1" ht="18.75" hidden="1">
      <c r="A249" s="1780"/>
      <c r="B249" s="1780"/>
      <c r="C249" s="369" t="s">
        <v>1149</v>
      </c>
      <c r="D249" s="2462"/>
      <c r="E249" s="2204"/>
      <c r="F249" s="2383"/>
      <c r="G249" s="2427"/>
      <c r="H249" s="1500"/>
      <c r="I249" s="651" t="s">
        <v>1148</v>
      </c>
      <c r="J249" s="571"/>
      <c r="K249" s="1500"/>
      <c r="L249" s="214"/>
      <c r="M249" s="341"/>
      <c r="N249" s="334"/>
      <c r="O249" s="1624"/>
      <c r="P249" s="1624"/>
      <c r="AH249" s="1631">
        <v>0</v>
      </c>
    </row>
    <row s="1635" customFormat="1" customHeight="1" ht="0.75" hidden="1">
      <c r="A250" s="1780"/>
      <c r="B250" s="1780"/>
      <c r="C250" s="369" t="s">
        <v>1156</v>
      </c>
      <c r="D250" s="2462"/>
      <c r="E250" s="2204"/>
      <c r="F250" s="2383"/>
      <c r="G250" s="400"/>
      <c r="H250" s="1500"/>
      <c r="I250" s="651"/>
      <c r="J250" s="571"/>
      <c r="K250" s="1500"/>
      <c r="L250" s="214"/>
      <c r="M250" s="341"/>
      <c r="N250" s="334"/>
      <c r="O250" s="1624"/>
      <c r="P250" s="1624"/>
      <c r="AH250" s="1631">
        <v>0</v>
      </c>
    </row>
    <row s="1635" customFormat="1" customHeight="1" ht="18.75" hidden="1">
      <c r="A251" s="1780" t="s">
        <v>252</v>
      </c>
      <c r="B251" s="1780" t="s">
        <v>253</v>
      </c>
      <c r="C251" s="369"/>
      <c r="D251" s="2462"/>
      <c r="E251" s="2204"/>
      <c r="F251" s="2383" t="str">
        <f>INDEX(PT_DIFFERENTIATION_VTAR,MATCH(A251,PT_DIFFERENTIATION_VTAR_ID,0))</f>
        <v>Тариф на горячую воду (горячее водоснабжение)</v>
      </c>
      <c r="G251" s="2427" t="str">
        <f>INDEX(PT_DIFFERENTIATION_NTAR,MATCH(B251,PT_DIFFERENTIATION_NTAR_ID,0))</f>
        <v/>
      </c>
      <c r="H251" s="1862"/>
      <c r="I251" s="1739"/>
      <c r="J251" s="1773"/>
      <c r="K251" s="1778"/>
      <c r="L251" s="1862" t="s">
        <v>308</v>
      </c>
      <c r="M251" s="341"/>
      <c r="N251" s="334"/>
      <c r="O251" s="1624"/>
      <c r="P251" s="1624"/>
      <c r="AH251" s="1631">
        <v>0</v>
      </c>
    </row>
    <row s="1635" customFormat="1" customHeight="1" ht="18.75" hidden="1">
      <c r="A252" s="1780"/>
      <c r="B252" s="1780"/>
      <c r="C252" s="369" t="s">
        <v>1149</v>
      </c>
      <c r="D252" s="2462"/>
      <c r="E252" s="2204"/>
      <c r="F252" s="2383"/>
      <c r="G252" s="2427"/>
      <c r="H252" s="1500"/>
      <c r="I252" s="651" t="s">
        <v>1148</v>
      </c>
      <c r="J252" s="571"/>
      <c r="K252" s="1500"/>
      <c r="L252" s="214"/>
      <c r="M252" s="341"/>
      <c r="N252" s="334"/>
      <c r="O252" s="1624"/>
      <c r="P252" s="1624"/>
      <c r="AH252" s="1631">
        <v>0</v>
      </c>
    </row>
    <row s="1635" customFormat="1" customHeight="1" ht="0.75" hidden="1">
      <c r="A253" s="1780"/>
      <c r="B253" s="1780"/>
      <c r="C253" s="369" t="s">
        <v>1156</v>
      </c>
      <c r="D253" s="2462"/>
      <c r="E253" s="2204"/>
      <c r="F253" s="2383"/>
      <c r="G253" s="400"/>
      <c r="H253" s="1500"/>
      <c r="I253" s="651"/>
      <c r="J253" s="571"/>
      <c r="K253" s="1500"/>
      <c r="L253" s="214"/>
      <c r="M253" s="341"/>
      <c r="N253" s="334"/>
      <c r="O253" s="1624"/>
      <c r="P253" s="1624"/>
      <c r="AH253" s="1631">
        <v>0</v>
      </c>
    </row>
    <row s="1635" customFormat="1" customHeight="1" ht="18.75" hidden="1">
      <c r="A254" s="1780" t="s">
        <v>257</v>
      </c>
      <c r="B254" s="1780" t="s">
        <v>258</v>
      </c>
      <c r="C254" s="369"/>
      <c r="D254" s="2462"/>
      <c r="E254" s="2204"/>
      <c r="F254" s="2383" t="str">
        <f>INDEX(PT_DIFFERENTIATION_VTAR,MATCH(A254,PT_DIFFERENTIATION_VTAR_ID,0))</f>
        <v>Тариф на транспортировку горячей воды</v>
      </c>
      <c r="G254" s="2427" t="str">
        <f>INDEX(PT_DIFFERENTIATION_NTAR,MATCH(B254,PT_DIFFERENTIATION_NTAR_ID,0))</f>
        <v/>
      </c>
      <c r="H254" s="1862"/>
      <c r="I254" s="1739"/>
      <c r="J254" s="1773"/>
      <c r="K254" s="1778"/>
      <c r="L254" s="1862" t="s">
        <v>308</v>
      </c>
      <c r="M254" s="341"/>
      <c r="N254" s="334"/>
      <c r="O254" s="1624"/>
      <c r="P254" s="1624"/>
      <c r="AH254" s="1631">
        <v>0</v>
      </c>
    </row>
    <row s="1635" customFormat="1" customHeight="1" ht="18.75" hidden="1">
      <c r="A255" s="1780"/>
      <c r="B255" s="1780"/>
      <c r="C255" s="369" t="s">
        <v>1149</v>
      </c>
      <c r="D255" s="2462"/>
      <c r="E255" s="2204"/>
      <c r="F255" s="2383"/>
      <c r="G255" s="2427"/>
      <c r="H255" s="1500"/>
      <c r="I255" s="651" t="s">
        <v>1148</v>
      </c>
      <c r="J255" s="571"/>
      <c r="K255" s="1500"/>
      <c r="L255" s="214"/>
      <c r="M255" s="341"/>
      <c r="N255" s="334"/>
      <c r="O255" s="1624"/>
      <c r="P255" s="1624"/>
      <c r="AH255" s="1631">
        <v>0</v>
      </c>
    </row>
    <row s="1635" customFormat="1" customHeight="1" ht="0.75" hidden="1">
      <c r="A256" s="1780"/>
      <c r="B256" s="1780"/>
      <c r="C256" s="369" t="s">
        <v>1156</v>
      </c>
      <c r="D256" s="2462"/>
      <c r="E256" s="2204"/>
      <c r="F256" s="2383"/>
      <c r="G256" s="400"/>
      <c r="H256" s="1500"/>
      <c r="I256" s="651"/>
      <c r="J256" s="571"/>
      <c r="K256" s="1500"/>
      <c r="L256" s="214"/>
      <c r="M256" s="341"/>
      <c r="N256" s="334"/>
      <c r="O256" s="1624"/>
      <c r="P256" s="1624"/>
      <c r="AH256" s="1631">
        <v>0</v>
      </c>
    </row>
    <row s="1635" customFormat="1" customHeight="1" ht="18.75" hidden="1">
      <c r="A257" s="1780" t="s">
        <v>262</v>
      </c>
      <c r="B257" s="1780" t="s">
        <v>263</v>
      </c>
      <c r="C257" s="369"/>
      <c r="D257" s="2462"/>
      <c r="E257" s="2204"/>
      <c r="F257" s="2383" t="str">
        <f>INDEX(PT_DIFFERENTIATION_VTAR,MATCH(A257,PT_DIFFERENTIATION_VTAR_ID,0))</f>
        <v>Тариф на подключение (технологическое присоединение) к централизованной системе горячего водоснабжения</v>
      </c>
      <c r="G257" s="2427" t="str">
        <f>INDEX(PT_DIFFERENTIATION_NTAR,MATCH(B257,PT_DIFFERENTIATION_NTAR_ID,0))</f>
        <v/>
      </c>
      <c r="H257" s="1862"/>
      <c r="I257" s="1739"/>
      <c r="J257" s="1773"/>
      <c r="K257" s="1778"/>
      <c r="L257" s="1862" t="s">
        <v>308</v>
      </c>
      <c r="M257" s="341"/>
      <c r="N257" s="334"/>
      <c r="O257" s="1624"/>
      <c r="P257" s="1624"/>
      <c r="AH257" s="1631">
        <v>0</v>
      </c>
    </row>
    <row s="1635" customFormat="1" customHeight="1" ht="18.75" hidden="1">
      <c r="A258" s="1780"/>
      <c r="B258" s="1780"/>
      <c r="C258" s="369" t="s">
        <v>1149</v>
      </c>
      <c r="D258" s="2462"/>
      <c r="E258" s="2204"/>
      <c r="F258" s="2383"/>
      <c r="G258" s="2427"/>
      <c r="H258" s="1500"/>
      <c r="I258" s="651" t="s">
        <v>1148</v>
      </c>
      <c r="J258" s="571"/>
      <c r="K258" s="1500"/>
      <c r="L258" s="214"/>
      <c r="M258" s="341"/>
      <c r="N258" s="334"/>
      <c r="O258" s="1624"/>
      <c r="P258" s="1624"/>
      <c r="AH258" s="1631">
        <v>0</v>
      </c>
    </row>
    <row s="1635" customFormat="1" customHeight="1" ht="0.75" hidden="1">
      <c r="A259" s="1780"/>
      <c r="B259" s="1780"/>
      <c r="C259" s="369" t="s">
        <v>1156</v>
      </c>
      <c r="D259" s="2462"/>
      <c r="E259" s="2204"/>
      <c r="F259" s="2383"/>
      <c r="G259" s="400"/>
      <c r="H259" s="1500"/>
      <c r="I259" s="651"/>
      <c r="J259" s="571"/>
      <c r="K259" s="1500"/>
      <c r="L259" s="214"/>
      <c r="M259" s="341"/>
      <c r="N259" s="334"/>
      <c r="O259" s="1624"/>
      <c r="P259" s="1624"/>
      <c r="AH259" s="1631">
        <v>0</v>
      </c>
    </row>
    <row s="1635" customFormat="1" customHeight="1" ht="18.75" hidden="1">
      <c r="A260" s="1780" t="s">
        <v>267</v>
      </c>
      <c r="B260" s="1780" t="s">
        <v>268</v>
      </c>
      <c r="C260" s="369"/>
      <c r="D260" s="2462"/>
      <c r="E260" s="2204"/>
      <c r="F260" s="2383" t="str">
        <f>INDEX(PT_DIFFERENTIATION_VTAR,MATCH(A260,PT_DIFFERENTIATION_VTAR_ID,0))</f>
        <v>Тариф на водоотведение</v>
      </c>
      <c r="G260" s="2427" t="str">
        <f>INDEX(PT_DIFFERENTIATION_NTAR,MATCH(B260,PT_DIFFERENTIATION_NTAR_ID,0))</f>
        <v/>
      </c>
      <c r="H260" s="1862"/>
      <c r="I260" s="1739"/>
      <c r="J260" s="1773"/>
      <c r="K260" s="1778"/>
      <c r="L260" s="1862" t="s">
        <v>308</v>
      </c>
      <c r="M260" s="341"/>
      <c r="N260" s="334"/>
      <c r="O260" s="1624"/>
      <c r="P260" s="1624"/>
      <c r="AH260" s="1631">
        <v>0</v>
      </c>
    </row>
    <row s="1635" customFormat="1" customHeight="1" ht="18.75" hidden="1">
      <c r="A261" s="1780"/>
      <c r="B261" s="1780"/>
      <c r="C261" s="369" t="s">
        <v>1149</v>
      </c>
      <c r="D261" s="2462"/>
      <c r="E261" s="2204"/>
      <c r="F261" s="2383"/>
      <c r="G261" s="2427"/>
      <c r="H261" s="1500"/>
      <c r="I261" s="651" t="s">
        <v>1148</v>
      </c>
      <c r="J261" s="571"/>
      <c r="K261" s="1500"/>
      <c r="L261" s="214"/>
      <c r="M261" s="341"/>
      <c r="N261" s="334"/>
      <c r="O261" s="1624"/>
      <c r="P261" s="1624"/>
      <c r="AH261" s="1631">
        <v>0</v>
      </c>
    </row>
    <row s="1635" customFormat="1" customHeight="1" ht="0.75" hidden="1">
      <c r="A262" s="1780"/>
      <c r="B262" s="1780"/>
      <c r="C262" s="369" t="s">
        <v>1156</v>
      </c>
      <c r="D262" s="2462"/>
      <c r="E262" s="2204"/>
      <c r="F262" s="2383"/>
      <c r="G262" s="400"/>
      <c r="H262" s="1500"/>
      <c r="I262" s="651"/>
      <c r="J262" s="571"/>
      <c r="K262" s="1500"/>
      <c r="L262" s="214"/>
      <c r="M262" s="341"/>
      <c r="N262" s="334"/>
      <c r="O262" s="1624"/>
      <c r="P262" s="1624"/>
      <c r="AH262" s="1631">
        <v>0</v>
      </c>
    </row>
    <row s="1635" customFormat="1" customHeight="1" ht="18.75" hidden="1">
      <c r="A263" s="1780" t="s">
        <v>272</v>
      </c>
      <c r="B263" s="1780" t="s">
        <v>273</v>
      </c>
      <c r="C263" s="369"/>
      <c r="D263" s="2462"/>
      <c r="E263" s="2204"/>
      <c r="F263" s="2383" t="str">
        <f>INDEX(PT_DIFFERENTIATION_VTAR,MATCH(A263,PT_DIFFERENTIATION_VTAR_ID,0))</f>
        <v>Тариф на транспортировку сточных вод</v>
      </c>
      <c r="G263" s="2427" t="str">
        <f>INDEX(PT_DIFFERENTIATION_NTAR,MATCH(B263,PT_DIFFERENTIATION_NTAR_ID,0))</f>
        <v/>
      </c>
      <c r="H263" s="1862"/>
      <c r="I263" s="1739"/>
      <c r="J263" s="1773"/>
      <c r="K263" s="1778"/>
      <c r="L263" s="1862" t="s">
        <v>308</v>
      </c>
      <c r="M263" s="341"/>
      <c r="N263" s="334"/>
      <c r="O263" s="1624"/>
      <c r="P263" s="1624"/>
      <c r="AH263" s="1631">
        <v>0</v>
      </c>
    </row>
    <row s="1635" customFormat="1" customHeight="1" ht="18.75" hidden="1">
      <c r="A264" s="1780"/>
      <c r="B264" s="1780"/>
      <c r="C264" s="369" t="s">
        <v>1149</v>
      </c>
      <c r="D264" s="2462"/>
      <c r="E264" s="2204"/>
      <c r="F264" s="2383"/>
      <c r="G264" s="2427"/>
      <c r="H264" s="1500"/>
      <c r="I264" s="651" t="s">
        <v>1148</v>
      </c>
      <c r="J264" s="571"/>
      <c r="K264" s="1500"/>
      <c r="L264" s="214"/>
      <c r="M264" s="341"/>
      <c r="N264" s="334"/>
      <c r="O264" s="1624"/>
      <c r="P264" s="1624"/>
      <c r="AH264" s="1631">
        <v>0</v>
      </c>
    </row>
    <row s="1635" customFormat="1" customHeight="1" ht="0.75" hidden="1">
      <c r="A265" s="1780"/>
      <c r="B265" s="1780"/>
      <c r="C265" s="369" t="s">
        <v>1156</v>
      </c>
      <c r="D265" s="2462"/>
      <c r="E265" s="2204"/>
      <c r="F265" s="2383"/>
      <c r="G265" s="400"/>
      <c r="H265" s="1500"/>
      <c r="I265" s="651"/>
      <c r="J265" s="571"/>
      <c r="K265" s="1500"/>
      <c r="L265" s="214"/>
      <c r="M265" s="341"/>
      <c r="N265" s="334"/>
      <c r="O265" s="1624"/>
      <c r="P265" s="1624"/>
      <c r="AH265" s="1631">
        <v>0</v>
      </c>
    </row>
    <row s="1635" customFormat="1" customHeight="1" ht="18.75" hidden="1">
      <c r="A266" s="1780" t="s">
        <v>277</v>
      </c>
      <c r="B266" s="1780" t="s">
        <v>278</v>
      </c>
      <c r="C266" s="369"/>
      <c r="D266" s="2462"/>
      <c r="E266" s="2204"/>
      <c r="F266" s="2383" t="str">
        <f>INDEX(PT_DIFFERENTIATION_VTAR,MATCH(A266,PT_DIFFERENTIATION_VTAR_ID,0))</f>
        <v>Тариф на подключение (технологическое присоединение) к централизованной системе водоотведения</v>
      </c>
      <c r="G266" s="2427" t="str">
        <f>INDEX(PT_DIFFERENTIATION_NTAR,MATCH(B266,PT_DIFFERENTIATION_NTAR_ID,0))</f>
        <v/>
      </c>
      <c r="H266" s="1862"/>
      <c r="I266" s="1739"/>
      <c r="J266" s="1773"/>
      <c r="K266" s="1778"/>
      <c r="L266" s="1862" t="s">
        <v>308</v>
      </c>
      <c r="M266" s="341"/>
      <c r="N266" s="334"/>
      <c r="O266" s="1624"/>
      <c r="P266" s="1624"/>
      <c r="AH266" s="1631">
        <v>0</v>
      </c>
    </row>
    <row s="1635" customFormat="1" customHeight="1" ht="18.75" hidden="1">
      <c r="A267" s="1780"/>
      <c r="B267" s="1780"/>
      <c r="C267" s="369" t="s">
        <v>1149</v>
      </c>
      <c r="D267" s="2462"/>
      <c r="E267" s="2204"/>
      <c r="F267" s="2383"/>
      <c r="G267" s="2427"/>
      <c r="H267" s="1500"/>
      <c r="I267" s="651" t="s">
        <v>1148</v>
      </c>
      <c r="J267" s="571"/>
      <c r="K267" s="1500"/>
      <c r="L267" s="214"/>
      <c r="M267" s="341"/>
      <c r="N267" s="334"/>
      <c r="O267" s="1624"/>
      <c r="P267" s="1624"/>
      <c r="AH267" s="1631">
        <v>0</v>
      </c>
    </row>
    <row s="1635" customFormat="1" customHeight="1" ht="1.05">
      <c r="A268" s="1780"/>
      <c r="B268" s="1780"/>
      <c r="C268" s="369" t="s">
        <v>1156</v>
      </c>
      <c r="D268" s="2462"/>
      <c r="E268" s="2204"/>
      <c r="F268" s="2383"/>
      <c r="G268" s="400"/>
      <c r="H268" s="1500"/>
      <c r="I268" s="651"/>
      <c r="J268" s="571"/>
      <c r="K268" s="1500"/>
      <c r="L268" s="214"/>
      <c r="M268" s="341"/>
      <c r="N268" s="334"/>
      <c r="O268" s="1624"/>
      <c r="P268" s="1624"/>
      <c r="AH268" s="1631">
        <v>1</v>
      </c>
    </row>
    <row customHeight="1" ht="27.299999999999997">
      <c r="A269" s="1780"/>
      <c r="B269" s="1780"/>
      <c r="D269" s="376"/>
      <c r="E269" s="147" t="s">
        <v>92</v>
      </c>
      <c r="F269" s="2460" t="str">
        <f>"Размер экономически обоснованных расходов, не учтенных при установлении "&amp;IF(TEMPLATE_SPHERE="HEAT","регулируемых цен (тарифов)","тарифов")&amp;" в предыдущий период регулирования (при их наличии), "&amp;IF(TEMPLATE_SPHERE="HEAT","определенном в соответствии с законодательством в сфере теплоснабжения","определенных в соответствии с Основами ценообразования в сфере водоснабжения и водоотведения")</f>
        <v>Размер экономически обоснованных расходов, не учтенных при установлении регулируемых цен (тарифов) в предыдущий период регулирования (при их наличии), определенном в соответствии с законодательством в сфере теплоснабжения</v>
      </c>
      <c r="G269" s="2460"/>
      <c r="H269" s="2460"/>
      <c r="I269" s="2460"/>
      <c r="J269" s="2460"/>
      <c r="K269" s="2460"/>
      <c r="L269" s="2460"/>
      <c r="M269" s="297"/>
      <c r="N269" s="334"/>
      <c r="AH269" s="374">
        <v>26</v>
      </c>
    </row>
    <row s="1635" customFormat="1" customHeight="1" ht="60.75" hidden="1">
      <c r="A270" s="1780" t="s">
        <v>159</v>
      </c>
      <c r="B270" s="1780" t="s">
        <v>160</v>
      </c>
      <c r="C270" s="369"/>
      <c r="D270" s="2462"/>
      <c r="E270" s="2204"/>
      <c r="F270" s="2383" t="str">
        <f>INDEX(PT_DIFFERENTIATION_VTAR,MATCH(A270,PT_DIFFERENTIATION_VTAR_ID,0))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270" s="2427" t="str">
        <f>INDEX(PT_DIFFERENTIATION_NTAR,MATCH(B270,PT_DIFFERENTIATION_NTAR_ID,0))</f>
        <v/>
      </c>
      <c r="H270" s="1862"/>
      <c r="I270" s="1739"/>
      <c r="J270" s="1773"/>
      <c r="K270" s="1778"/>
      <c r="L270" s="1862" t="s">
        <v>308</v>
      </c>
      <c r="M270" s="2169"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"&amp;"Величина экономически обоснованных расходов, не учтенных при регулировании тарифов в предыдущий период регулирования, указывается в колонке «Информация» в тыс. руб.
"&amp;"В случае отсутствия экономически обоснованных расходов, не учтенных при регулировании тарифов в предыдущий период регулирования, определенных в соответствии с законодательством в сфере водоснабжения и водоотведения, указывается значение «0».
"&amp;"В случае дифференциации экономически обоснованных расходов по видам тарифов и/или по срокам действия тарифов информация указывается в отдельных строках."</f>
        <v>Значение в колонке «Вид тарифа» выбирается из перечня видов тарифов в сфере теплоснабжения, предусмотренных законодательством в сфере теплоснабжения.
Даты начала и окончания срока действия тарифов указываются в виде «ДД.ММ.ГГГГ».
Величина экономически обоснованных расходов, не учтенных при регулировании тарифов в предыдущий период регулирования, указывается в колонке «Информация» в тыс. руб.
В случае отсутствия экономически обоснованных расходов, не учтенных при регулировании тарифов в предыдущий период регулирования, определенных в соответствии с законодательством в сфере водоснабжения и водоотведения, указывается значение «0».
В случае дифференциации экономически обоснованных расходов по видам тарифов и/или по срокам действия тарифов информация указывается в отдельных строках.</v>
      </c>
      <c r="N270" s="334"/>
      <c r="O270" s="1624"/>
      <c r="P270" s="1624"/>
      <c r="AH270" s="1631">
        <v>0</v>
      </c>
    </row>
    <row s="1635" customFormat="1" customHeight="1" ht="18.75" hidden="1">
      <c r="A271" s="1780"/>
      <c r="B271" s="1780"/>
      <c r="C271" s="369" t="s">
        <v>1149</v>
      </c>
      <c r="D271" s="2462"/>
      <c r="E271" s="2204"/>
      <c r="F271" s="2383"/>
      <c r="G271" s="2427"/>
      <c r="H271" s="1500"/>
      <c r="I271" s="651" t="s">
        <v>1148</v>
      </c>
      <c r="J271" s="571"/>
      <c r="K271" s="1500"/>
      <c r="L271" s="214"/>
      <c r="M271" s="2170"/>
      <c r="N271" s="334"/>
      <c r="O271" s="1624"/>
      <c r="P271" s="1624"/>
      <c r="AH271" s="1631">
        <v>0</v>
      </c>
    </row>
    <row s="1635" customFormat="1" customHeight="1" ht="0.75" hidden="1">
      <c r="A272" s="1780"/>
      <c r="B272" s="1780"/>
      <c r="C272" s="369" t="s">
        <v>1156</v>
      </c>
      <c r="D272" s="2462"/>
      <c r="E272" s="2204"/>
      <c r="F272" s="2383"/>
      <c r="G272" s="400"/>
      <c r="H272" s="1500"/>
      <c r="I272" s="651"/>
      <c r="J272" s="571"/>
      <c r="K272" s="1500"/>
      <c r="L272" s="214"/>
      <c r="M272" s="2170"/>
      <c r="N272" s="334"/>
      <c r="O272" s="1624"/>
      <c r="P272" s="1624"/>
      <c r="AH272" s="1631">
        <v>0</v>
      </c>
    </row>
    <row s="1635" customFormat="1" customHeight="1" ht="45" hidden="1">
      <c r="A273" s="1780" t="s">
        <v>164</v>
      </c>
      <c r="B273" s="1780" t="s">
        <v>165</v>
      </c>
      <c r="C273" s="369"/>
      <c r="D273" s="2462"/>
      <c r="E273" s="2204"/>
      <c r="F273" s="2383" t="str">
        <f>INDEX(PT_DIFFERENTIATION_VTAR,MATCH(A273,PT_DIFFERENTIATION_VTAR_ID,0))</f>
        <v/>
      </c>
      <c r="G273" s="2427" t="str">
        <f>INDEX(PT_DIFFERENTIATION_NTAR,MATCH(B273,PT_DIFFERENTIATION_NTAR_ID,0))</f>
        <v/>
      </c>
      <c r="H273" s="1862"/>
      <c r="I273" s="1739"/>
      <c r="J273" s="1773"/>
      <c r="K273" s="1778"/>
      <c r="L273" s="1862" t="s">
        <v>308</v>
      </c>
      <c r="M273" s="2171"/>
      <c r="N273" s="334"/>
      <c r="O273" s="1624"/>
      <c r="P273" s="1624"/>
      <c r="AH273" s="1631">
        <v>0</v>
      </c>
    </row>
    <row s="1635" customFormat="1" customHeight="1" ht="18.75" hidden="1">
      <c r="A274" s="1780"/>
      <c r="B274" s="1780"/>
      <c r="C274" s="369" t="s">
        <v>1149</v>
      </c>
      <c r="D274" s="2462"/>
      <c r="E274" s="2204"/>
      <c r="F274" s="2383"/>
      <c r="G274" s="2427"/>
      <c r="H274" s="1500"/>
      <c r="I274" s="651" t="s">
        <v>1148</v>
      </c>
      <c r="J274" s="571"/>
      <c r="K274" s="1500"/>
      <c r="L274" s="214"/>
      <c r="M274" s="1861"/>
      <c r="N274" s="334"/>
      <c r="O274" s="1624"/>
      <c r="P274" s="1624"/>
      <c r="AH274" s="1631">
        <v>0</v>
      </c>
    </row>
    <row s="1635" customFormat="1" customHeight="1" ht="0.75" hidden="1">
      <c r="A275" s="1780"/>
      <c r="B275" s="1780"/>
      <c r="C275" s="369" t="s">
        <v>1156</v>
      </c>
      <c r="D275" s="2462"/>
      <c r="E275" s="2204"/>
      <c r="F275" s="2383"/>
      <c r="G275" s="400"/>
      <c r="H275" s="1500"/>
      <c r="I275" s="651"/>
      <c r="J275" s="571"/>
      <c r="K275" s="1500"/>
      <c r="L275" s="214"/>
      <c r="M275" s="341"/>
      <c r="N275" s="334"/>
      <c r="O275" s="1624"/>
      <c r="P275" s="1624"/>
      <c r="AH275" s="1631">
        <v>0</v>
      </c>
    </row>
    <row s="1635" customFormat="1" customHeight="1" ht="45" hidden="1">
      <c r="A276" s="1780" t="s">
        <v>171</v>
      </c>
      <c r="B276" s="1780" t="s">
        <v>172</v>
      </c>
      <c r="C276" s="369"/>
      <c r="D276" s="2462"/>
      <c r="E276" s="2204"/>
      <c r="F276" s="2383" t="str">
        <f>INDEX(PT_DIFFERENTIATION_VTAR,MATCH(A276,PT_DIFFERENTIATION_VTAR_ID,0))</f>
        <v>Тарифы на теплоноситель, поставляемый теплоснабжающими организациями потребителям, другим теплоснабжающим организациям</v>
      </c>
      <c r="G276" s="2427" t="str">
        <f>INDEX(PT_DIFFERENTIATION_NTAR,MATCH(B276,PT_DIFFERENTIATION_NTAR_ID,0))</f>
        <v/>
      </c>
      <c r="H276" s="1862"/>
      <c r="I276" s="1739"/>
      <c r="J276" s="1773"/>
      <c r="K276" s="1778"/>
      <c r="L276" s="1862" t="s">
        <v>308</v>
      </c>
      <c r="M276" s="341"/>
      <c r="N276" s="334"/>
      <c r="O276" s="1624"/>
      <c r="P276" s="1624"/>
      <c r="AH276" s="1631">
        <v>0</v>
      </c>
    </row>
    <row s="1635" customFormat="1" customHeight="1" ht="18.75" hidden="1">
      <c r="A277" s="1780"/>
      <c r="B277" s="1780"/>
      <c r="C277" s="369" t="s">
        <v>1149</v>
      </c>
      <c r="D277" s="2462"/>
      <c r="E277" s="2204"/>
      <c r="F277" s="2383"/>
      <c r="G277" s="2427"/>
      <c r="H277" s="1500"/>
      <c r="I277" s="651" t="s">
        <v>1148</v>
      </c>
      <c r="J277" s="571"/>
      <c r="K277" s="1500"/>
      <c r="L277" s="214"/>
      <c r="M277" s="341"/>
      <c r="N277" s="334"/>
      <c r="O277" s="1624"/>
      <c r="P277" s="1624"/>
      <c r="AH277" s="1631">
        <v>0</v>
      </c>
    </row>
    <row s="1635" customFormat="1" customHeight="1" ht="0.75" hidden="1">
      <c r="A278" s="1780"/>
      <c r="B278" s="1780"/>
      <c r="C278" s="369" t="s">
        <v>1156</v>
      </c>
      <c r="D278" s="2462"/>
      <c r="E278" s="2204"/>
      <c r="F278" s="2383"/>
      <c r="G278" s="400"/>
      <c r="H278" s="1500"/>
      <c r="I278" s="651"/>
      <c r="J278" s="571"/>
      <c r="K278" s="1500"/>
      <c r="L278" s="214"/>
      <c r="M278" s="341"/>
      <c r="N278" s="334"/>
      <c r="O278" s="1624"/>
      <c r="P278" s="1624"/>
      <c r="AH278" s="1631">
        <v>0</v>
      </c>
    </row>
    <row s="1635" customFormat="1" customHeight="1" ht="45" hidden="1">
      <c r="A279" s="1780" t="s">
        <v>177</v>
      </c>
      <c r="B279" s="1780" t="s">
        <v>178</v>
      </c>
      <c r="C279" s="369"/>
      <c r="D279" s="2462"/>
      <c r="E279" s="2204"/>
      <c r="F279" s="2383" t="str">
        <f>INDEX(PT_DIFFERENTIATION_VTAR,MATCH(A279,PT_DIFFERENTIATION_VTAR_ID,0))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279" s="2427" t="str">
        <f>INDEX(PT_DIFFERENTIATION_NTAR,MATCH(B279,PT_DIFFERENTIATION_NTAR_ID,0))</f>
        <v/>
      </c>
      <c r="H279" s="1862"/>
      <c r="I279" s="1739"/>
      <c r="J279" s="1773"/>
      <c r="K279" s="1778"/>
      <c r="L279" s="1862" t="s">
        <v>308</v>
      </c>
      <c r="M279" s="341"/>
      <c r="N279" s="334"/>
      <c r="O279" s="1624"/>
      <c r="P279" s="1624"/>
      <c r="AH279" s="1631">
        <v>0</v>
      </c>
    </row>
    <row s="1635" customFormat="1" customHeight="1" ht="18.75" hidden="1">
      <c r="A280" s="1780"/>
      <c r="B280" s="1780"/>
      <c r="C280" s="369" t="s">
        <v>1149</v>
      </c>
      <c r="D280" s="2462"/>
      <c r="E280" s="2204"/>
      <c r="F280" s="2383"/>
      <c r="G280" s="2427"/>
      <c r="H280" s="1500"/>
      <c r="I280" s="651" t="s">
        <v>1148</v>
      </c>
      <c r="J280" s="571"/>
      <c r="K280" s="1500"/>
      <c r="L280" s="214"/>
      <c r="M280" s="341"/>
      <c r="N280" s="334"/>
      <c r="O280" s="1624"/>
      <c r="P280" s="1624"/>
      <c r="AH280" s="1631">
        <v>0</v>
      </c>
    </row>
    <row s="1635" customFormat="1" customHeight="1" ht="0.75" hidden="1">
      <c r="A281" s="1780"/>
      <c r="B281" s="1780"/>
      <c r="C281" s="369" t="s">
        <v>1156</v>
      </c>
      <c r="D281" s="2462"/>
      <c r="E281" s="2204"/>
      <c r="F281" s="2383"/>
      <c r="G281" s="400"/>
      <c r="H281" s="1500"/>
      <c r="I281" s="651"/>
      <c r="J281" s="571"/>
      <c r="K281" s="1500"/>
      <c r="L281" s="214"/>
      <c r="M281" s="341"/>
      <c r="N281" s="334"/>
      <c r="O281" s="1624"/>
      <c r="P281" s="1624"/>
      <c r="AH281" s="1631">
        <v>0</v>
      </c>
    </row>
    <row s="1635" customFormat="1" customHeight="1" ht="18.75" hidden="1">
      <c r="A282" s="1780" t="s">
        <v>183</v>
      </c>
      <c r="B282" s="1780" t="s">
        <v>184</v>
      </c>
      <c r="C282" s="369"/>
      <c r="D282" s="2462"/>
      <c r="E282" s="2204"/>
      <c r="F282" s="2383" t="str">
        <f>INDEX(PT_DIFFERENTIATION_VTAR,MATCH(A282,PT_DIFFERENTIATION_VTAR_ID,0))</f>
        <v>Тарифы на услуги по передаче тепловой энергии</v>
      </c>
      <c r="G282" s="2427" t="str">
        <f>INDEX(PT_DIFFERENTIATION_NTAR,MATCH(B282,PT_DIFFERENTIATION_NTAR_ID,0))</f>
        <v/>
      </c>
      <c r="H282" s="1862"/>
      <c r="I282" s="1739"/>
      <c r="J282" s="1773"/>
      <c r="K282" s="1778"/>
      <c r="L282" s="1862" t="s">
        <v>308</v>
      </c>
      <c r="M282" s="341"/>
      <c r="N282" s="334"/>
      <c r="O282" s="1624"/>
      <c r="P282" s="1624"/>
      <c r="AH282" s="1631">
        <v>0</v>
      </c>
    </row>
    <row s="1635" customFormat="1" customHeight="1" ht="18.75" hidden="1">
      <c r="A283" s="1780"/>
      <c r="B283" s="1780"/>
      <c r="C283" s="369" t="s">
        <v>1149</v>
      </c>
      <c r="D283" s="2462"/>
      <c r="E283" s="2204"/>
      <c r="F283" s="2383"/>
      <c r="G283" s="2427"/>
      <c r="H283" s="1500"/>
      <c r="I283" s="651" t="s">
        <v>1148</v>
      </c>
      <c r="J283" s="571"/>
      <c r="K283" s="1500"/>
      <c r="L283" s="214"/>
      <c r="M283" s="341"/>
      <c r="N283" s="334"/>
      <c r="O283" s="1624"/>
      <c r="P283" s="1624"/>
      <c r="AH283" s="1631">
        <v>0</v>
      </c>
    </row>
    <row s="1635" customFormat="1" customHeight="1" ht="0.75" hidden="1">
      <c r="A284" s="1780"/>
      <c r="B284" s="1780"/>
      <c r="C284" s="369" t="s">
        <v>1156</v>
      </c>
      <c r="D284" s="2462"/>
      <c r="E284" s="2204"/>
      <c r="F284" s="2383"/>
      <c r="G284" s="400"/>
      <c r="H284" s="1500"/>
      <c r="I284" s="651"/>
      <c r="J284" s="571"/>
      <c r="K284" s="1500"/>
      <c r="L284" s="214"/>
      <c r="M284" s="341"/>
      <c r="N284" s="334"/>
      <c r="O284" s="1624"/>
      <c r="P284" s="1624"/>
      <c r="AH284" s="1631">
        <v>0</v>
      </c>
    </row>
    <row s="1635" customFormat="1" customHeight="1" ht="18.75" hidden="1">
      <c r="A285" s="1780" t="s">
        <v>189</v>
      </c>
      <c r="B285" s="1780" t="s">
        <v>190</v>
      </c>
      <c r="C285" s="369"/>
      <c r="D285" s="2462"/>
      <c r="E285" s="2204"/>
      <c r="F285" s="2383" t="str">
        <f>INDEX(PT_DIFFERENTIATION_VTAR,MATCH(A285,PT_DIFFERENTIATION_VTAR_ID,0))</f>
        <v>Тарифы на услуги по передаче теплоносителя</v>
      </c>
      <c r="G285" s="2427" t="str">
        <f>INDEX(PT_DIFFERENTIATION_NTAR,MATCH(B285,PT_DIFFERENTIATION_NTAR_ID,0))</f>
        <v/>
      </c>
      <c r="H285" s="1862"/>
      <c r="I285" s="1739"/>
      <c r="J285" s="1773"/>
      <c r="K285" s="1778"/>
      <c r="L285" s="1862" t="s">
        <v>308</v>
      </c>
      <c r="M285" s="341"/>
      <c r="N285" s="334"/>
      <c r="O285" s="1624"/>
      <c r="P285" s="1624"/>
      <c r="AH285" s="1631">
        <v>0</v>
      </c>
    </row>
    <row s="1635" customFormat="1" customHeight="1" ht="18.75" hidden="1">
      <c r="A286" s="1780"/>
      <c r="B286" s="1780"/>
      <c r="C286" s="369" t="s">
        <v>1149</v>
      </c>
      <c r="D286" s="2462"/>
      <c r="E286" s="2204"/>
      <c r="F286" s="2383"/>
      <c r="G286" s="2427"/>
      <c r="H286" s="1500"/>
      <c r="I286" s="651" t="s">
        <v>1148</v>
      </c>
      <c r="J286" s="571"/>
      <c r="K286" s="1500"/>
      <c r="L286" s="214"/>
      <c r="M286" s="341"/>
      <c r="N286" s="334"/>
      <c r="O286" s="1624"/>
      <c r="P286" s="1624"/>
      <c r="AH286" s="1631">
        <v>0</v>
      </c>
    </row>
    <row s="1635" customFormat="1" customHeight="1" ht="0.75" hidden="1">
      <c r="A287" s="1780"/>
      <c r="B287" s="1780"/>
      <c r="C287" s="369" t="s">
        <v>1156</v>
      </c>
      <c r="D287" s="2462"/>
      <c r="E287" s="2204"/>
      <c r="F287" s="2383"/>
      <c r="G287" s="400"/>
      <c r="H287" s="1500"/>
      <c r="I287" s="651"/>
      <c r="J287" s="571"/>
      <c r="K287" s="1500"/>
      <c r="L287" s="214"/>
      <c r="M287" s="341"/>
      <c r="N287" s="334"/>
      <c r="O287" s="1624"/>
      <c r="P287" s="1624"/>
      <c r="AH287" s="1631">
        <v>0</v>
      </c>
    </row>
    <row s="1635" customFormat="1" customHeight="1" ht="18.75" hidden="1">
      <c r="A288" s="1780" t="s">
        <v>195</v>
      </c>
      <c r="B288" s="1780" t="s">
        <v>196</v>
      </c>
      <c r="C288" s="369"/>
      <c r="D288" s="2462"/>
      <c r="E288" s="2204"/>
      <c r="F288" s="2383" t="str">
        <f>INDEX(PT_DIFFERENTIATION_VTAR,MATCH(A288,PT_DIFFERENTIATION_VTAR_ID,0))</f>
        <v>Плата за услуги по поддержанию резервной тепловой мощности при отсутствии потребления тепловой энергии</v>
      </c>
      <c r="G288" s="2427" t="str">
        <f>INDEX(PT_DIFFERENTIATION_NTAR,MATCH(B288,PT_DIFFERENTIATION_NTAR_ID,0))</f>
        <v/>
      </c>
      <c r="H288" s="1862"/>
      <c r="I288" s="1739"/>
      <c r="J288" s="1773"/>
      <c r="K288" s="1778"/>
      <c r="L288" s="1862" t="s">
        <v>308</v>
      </c>
      <c r="M288" s="341"/>
      <c r="N288" s="334"/>
      <c r="O288" s="1624"/>
      <c r="P288" s="1624"/>
      <c r="AH288" s="1631">
        <v>0</v>
      </c>
    </row>
    <row s="1635" customFormat="1" customHeight="1" ht="18.75" hidden="1">
      <c r="A289" s="1780"/>
      <c r="B289" s="1780"/>
      <c r="C289" s="369" t="s">
        <v>1149</v>
      </c>
      <c r="D289" s="2462"/>
      <c r="E289" s="2204"/>
      <c r="F289" s="2383"/>
      <c r="G289" s="2427"/>
      <c r="H289" s="1500"/>
      <c r="I289" s="651" t="s">
        <v>1148</v>
      </c>
      <c r="J289" s="571"/>
      <c r="K289" s="1500"/>
      <c r="L289" s="214"/>
      <c r="M289" s="341"/>
      <c r="N289" s="334"/>
      <c r="O289" s="1624"/>
      <c r="P289" s="1624"/>
      <c r="AH289" s="1631">
        <v>0</v>
      </c>
    </row>
    <row s="1635" customFormat="1" customHeight="1" ht="0.75" hidden="1">
      <c r="A290" s="1780"/>
      <c r="B290" s="1780"/>
      <c r="C290" s="369" t="s">
        <v>1156</v>
      </c>
      <c r="D290" s="2462"/>
      <c r="E290" s="2204"/>
      <c r="F290" s="2383"/>
      <c r="G290" s="400"/>
      <c r="H290" s="1500"/>
      <c r="I290" s="651"/>
      <c r="J290" s="571"/>
      <c r="K290" s="1500"/>
      <c r="L290" s="214"/>
      <c r="M290" s="341"/>
      <c r="N290" s="334"/>
      <c r="O290" s="1624"/>
      <c r="P290" s="1624"/>
      <c r="AH290" s="1631">
        <v>0</v>
      </c>
    </row>
    <row s="1635" customFormat="1" customHeight="1" ht="18.75" hidden="1">
      <c r="A291" s="1780" t="s">
        <v>201</v>
      </c>
      <c r="B291" s="1780" t="s">
        <v>202</v>
      </c>
      <c r="C291" s="369"/>
      <c r="D291" s="2462"/>
      <c r="E291" s="2204"/>
      <c r="F291" s="2383" t="str">
        <f>INDEX(PT_DIFFERENTIATION_VTAR,MATCH(A291,PT_DIFFERENTIATION_VTAR_ID,0))</f>
        <v>Плата за подключение (технологическое присоединение) к системе теплоснабжения</v>
      </c>
      <c r="G291" s="2427" t="str">
        <f>INDEX(PT_DIFFERENTIATION_NTAR,MATCH(B291,PT_DIFFERENTIATION_NTAR_ID,0))</f>
        <v/>
      </c>
      <c r="H291" s="1862"/>
      <c r="I291" s="1739"/>
      <c r="J291" s="1773"/>
      <c r="K291" s="1778"/>
      <c r="L291" s="1862" t="s">
        <v>308</v>
      </c>
      <c r="M291" s="341"/>
      <c r="N291" s="334"/>
      <c r="O291" s="1624"/>
      <c r="P291" s="1624"/>
      <c r="AH291" s="1631">
        <v>0</v>
      </c>
    </row>
    <row s="1635" customFormat="1" customHeight="1" ht="18.75" hidden="1">
      <c r="A292" s="1780"/>
      <c r="B292" s="1780"/>
      <c r="C292" s="369" t="s">
        <v>1149</v>
      </c>
      <c r="D292" s="2462"/>
      <c r="E292" s="2204"/>
      <c r="F292" s="2383"/>
      <c r="G292" s="2427"/>
      <c r="H292" s="1500"/>
      <c r="I292" s="651" t="s">
        <v>1148</v>
      </c>
      <c r="J292" s="571"/>
      <c r="K292" s="1500"/>
      <c r="L292" s="214"/>
      <c r="M292" s="341"/>
      <c r="N292" s="334"/>
      <c r="O292" s="1624"/>
      <c r="P292" s="1624"/>
      <c r="AH292" s="1631">
        <v>0</v>
      </c>
    </row>
    <row s="1635" customFormat="1" customHeight="1" ht="0.75" hidden="1">
      <c r="A293" s="1780"/>
      <c r="B293" s="1780"/>
      <c r="C293" s="369" t="s">
        <v>1156</v>
      </c>
      <c r="D293" s="2462"/>
      <c r="E293" s="2204"/>
      <c r="F293" s="2383"/>
      <c r="G293" s="400"/>
      <c r="H293" s="1500"/>
      <c r="I293" s="651"/>
      <c r="J293" s="571"/>
      <c r="K293" s="1500"/>
      <c r="L293" s="214"/>
      <c r="M293" s="341"/>
      <c r="N293" s="334"/>
      <c r="O293" s="1624"/>
      <c r="P293" s="1624"/>
      <c r="AH293" s="1631">
        <v>0</v>
      </c>
    </row>
    <row s="1635" customFormat="1" customHeight="1" ht="18.75" hidden="1">
      <c r="A294" s="1780" t="s">
        <v>207</v>
      </c>
      <c r="B294" s="1780" t="s">
        <v>208</v>
      </c>
      <c r="C294" s="369"/>
      <c r="D294" s="2462"/>
      <c r="E294" s="2204"/>
      <c r="F294" s="2383" t="str">
        <f>INDEX(PT_DIFFERENTIATION_VTAR,MATCH(A294,PT_DIFFERENTIATION_VTAR_ID,0))</f>
        <v>Плата за подключение (технологическое присоединение) к системе теплоснабжения (индивидуальная)</v>
      </c>
      <c r="G294" s="2427" t="str">
        <f>INDEX(PT_DIFFERENTIATION_NTAR,MATCH(B294,PT_DIFFERENTIATION_NTAR_ID,0))</f>
        <v/>
      </c>
      <c r="H294" s="1989"/>
      <c r="I294" s="1739"/>
      <c r="J294" s="1773"/>
      <c r="K294" s="1778"/>
      <c r="L294" s="1989" t="s">
        <v>308</v>
      </c>
      <c r="M294" s="341"/>
      <c r="N294" s="334"/>
      <c r="O294" s="1624"/>
      <c r="P294" s="1624"/>
      <c r="AH294" s="1631">
        <v>0</v>
      </c>
    </row>
    <row s="1635" customFormat="1" customHeight="1" ht="18.75" hidden="1">
      <c r="A295" s="1780"/>
      <c r="B295" s="1780"/>
      <c r="C295" s="369" t="s">
        <v>1149</v>
      </c>
      <c r="D295" s="2462"/>
      <c r="E295" s="2204"/>
      <c r="F295" s="2383"/>
      <c r="G295" s="2427"/>
      <c r="H295" s="1500"/>
      <c r="I295" s="651" t="s">
        <v>1148</v>
      </c>
      <c r="J295" s="571"/>
      <c r="K295" s="1500"/>
      <c r="L295" s="214"/>
      <c r="M295" s="341"/>
      <c r="N295" s="334"/>
      <c r="O295" s="1624"/>
      <c r="P295" s="1624"/>
      <c r="AH295" s="1631">
        <v>0</v>
      </c>
    </row>
    <row s="1635" customFormat="1" customHeight="1" ht="0.75" hidden="1">
      <c r="A296" s="1780"/>
      <c r="B296" s="1780"/>
      <c r="C296" s="369" t="s">
        <v>1156</v>
      </c>
      <c r="D296" s="2462"/>
      <c r="E296" s="2204"/>
      <c r="F296" s="2383"/>
      <c r="G296" s="400"/>
      <c r="H296" s="1500"/>
      <c r="I296" s="651"/>
      <c r="J296" s="571"/>
      <c r="K296" s="1500"/>
      <c r="L296" s="214"/>
      <c r="M296" s="341"/>
      <c r="N296" s="334"/>
      <c r="O296" s="1624"/>
      <c r="P296" s="1624"/>
      <c r="AH296" s="1631">
        <v>0</v>
      </c>
    </row>
    <row s="1635" customFormat="1" customHeight="1" ht="18.75" hidden="1">
      <c r="A297" s="1780" t="s">
        <v>227</v>
      </c>
      <c r="B297" s="1780" t="s">
        <v>228</v>
      </c>
      <c r="C297" s="369"/>
      <c r="D297" s="2462"/>
      <c r="E297" s="2204"/>
      <c r="F297" s="2383" t="str">
        <f>INDEX(PT_DIFFERENTIATION_VTAR,MATCH(A297,PT_DIFFERENTIATION_VTAR_ID,0))</f>
        <v>Тариф на питьевую воду (питьевое водоснабжение)</v>
      </c>
      <c r="G297" s="2427" t="str">
        <f>INDEX(PT_DIFFERENTIATION_NTAR,MATCH(B297,PT_DIFFERENTIATION_NTAR_ID,0))</f>
        <v/>
      </c>
      <c r="H297" s="1862"/>
      <c r="I297" s="1739"/>
      <c r="J297" s="1773"/>
      <c r="K297" s="1778"/>
      <c r="L297" s="1862" t="s">
        <v>308</v>
      </c>
      <c r="M297" s="341"/>
      <c r="N297" s="334"/>
      <c r="O297" s="1624"/>
      <c r="P297" s="1624"/>
      <c r="AH297" s="1631">
        <v>0</v>
      </c>
    </row>
    <row s="1635" customFormat="1" customHeight="1" ht="18.75" hidden="1">
      <c r="A298" s="1780"/>
      <c r="B298" s="1780"/>
      <c r="C298" s="369" t="s">
        <v>1149</v>
      </c>
      <c r="D298" s="2462"/>
      <c r="E298" s="2204"/>
      <c r="F298" s="2383"/>
      <c r="G298" s="2427"/>
      <c r="H298" s="1500"/>
      <c r="I298" s="651" t="s">
        <v>1148</v>
      </c>
      <c r="J298" s="571"/>
      <c r="K298" s="1500"/>
      <c r="L298" s="214"/>
      <c r="M298" s="341"/>
      <c r="N298" s="334"/>
      <c r="O298" s="1624"/>
      <c r="P298" s="1624"/>
      <c r="AH298" s="1631">
        <v>0</v>
      </c>
    </row>
    <row s="1635" customFormat="1" customHeight="1" ht="0.75" hidden="1">
      <c r="A299" s="1780"/>
      <c r="B299" s="1780"/>
      <c r="C299" s="369" t="s">
        <v>1156</v>
      </c>
      <c r="D299" s="2462"/>
      <c r="E299" s="2204"/>
      <c r="F299" s="2383"/>
      <c r="G299" s="400"/>
      <c r="H299" s="1500"/>
      <c r="I299" s="651"/>
      <c r="J299" s="571"/>
      <c r="K299" s="1500"/>
      <c r="L299" s="214"/>
      <c r="M299" s="341"/>
      <c r="N299" s="334"/>
      <c r="O299" s="1624"/>
      <c r="P299" s="1624"/>
      <c r="AH299" s="1631">
        <v>0</v>
      </c>
    </row>
    <row s="1635" customFormat="1" customHeight="1" ht="18.75" hidden="1">
      <c r="A300" s="1780" t="s">
        <v>232</v>
      </c>
      <c r="B300" s="1780" t="s">
        <v>233</v>
      </c>
      <c r="C300" s="369"/>
      <c r="D300" s="2462"/>
      <c r="E300" s="2204"/>
      <c r="F300" s="2383" t="str">
        <f>INDEX(PT_DIFFERENTIATION_VTAR,MATCH(A300,PT_DIFFERENTIATION_VTAR_ID,0))</f>
        <v>Тариф на техническую воду</v>
      </c>
      <c r="G300" s="2427" t="str">
        <f>INDEX(PT_DIFFERENTIATION_NTAR,MATCH(B300,PT_DIFFERENTIATION_NTAR_ID,0))</f>
        <v/>
      </c>
      <c r="H300" s="1862"/>
      <c r="I300" s="1739"/>
      <c r="J300" s="1773"/>
      <c r="K300" s="1778"/>
      <c r="L300" s="1862" t="s">
        <v>308</v>
      </c>
      <c r="M300" s="341"/>
      <c r="N300" s="334"/>
      <c r="O300" s="1624"/>
      <c r="P300" s="1624"/>
      <c r="AH300" s="1631">
        <v>0</v>
      </c>
    </row>
    <row s="1635" customFormat="1" customHeight="1" ht="18.75" hidden="1">
      <c r="A301" s="1780"/>
      <c r="B301" s="1780"/>
      <c r="C301" s="369" t="s">
        <v>1149</v>
      </c>
      <c r="D301" s="2462"/>
      <c r="E301" s="2204"/>
      <c r="F301" s="2383"/>
      <c r="G301" s="2427"/>
      <c r="H301" s="1500"/>
      <c r="I301" s="651" t="s">
        <v>1148</v>
      </c>
      <c r="J301" s="571"/>
      <c r="K301" s="1500"/>
      <c r="L301" s="214"/>
      <c r="M301" s="341"/>
      <c r="N301" s="334"/>
      <c r="O301" s="1624"/>
      <c r="P301" s="1624"/>
      <c r="AH301" s="1631">
        <v>0</v>
      </c>
    </row>
    <row s="1635" customFormat="1" customHeight="1" ht="0.75" hidden="1">
      <c r="A302" s="1780"/>
      <c r="B302" s="1780"/>
      <c r="C302" s="369" t="s">
        <v>1156</v>
      </c>
      <c r="D302" s="2462"/>
      <c r="E302" s="2204"/>
      <c r="F302" s="2383"/>
      <c r="G302" s="400"/>
      <c r="H302" s="1500"/>
      <c r="I302" s="651"/>
      <c r="J302" s="571"/>
      <c r="K302" s="1500"/>
      <c r="L302" s="214"/>
      <c r="M302" s="341"/>
      <c r="N302" s="334"/>
      <c r="O302" s="1624"/>
      <c r="P302" s="1624"/>
      <c r="AH302" s="1631">
        <v>0</v>
      </c>
    </row>
    <row s="1635" customFormat="1" customHeight="1" ht="18.75" hidden="1">
      <c r="A303" s="1780" t="s">
        <v>237</v>
      </c>
      <c r="B303" s="1780" t="s">
        <v>238</v>
      </c>
      <c r="C303" s="369"/>
      <c r="D303" s="2462"/>
      <c r="E303" s="2204"/>
      <c r="F303" s="2383" t="str">
        <f>INDEX(PT_DIFFERENTIATION_VTAR,MATCH(A303,PT_DIFFERENTIATION_VTAR_ID,0))</f>
        <v>Тариф на транспортировку воды</v>
      </c>
      <c r="G303" s="2427" t="str">
        <f>INDEX(PT_DIFFERENTIATION_NTAR,MATCH(B303,PT_DIFFERENTIATION_NTAR_ID,0))</f>
        <v/>
      </c>
      <c r="H303" s="1862"/>
      <c r="I303" s="1739"/>
      <c r="J303" s="1773"/>
      <c r="K303" s="1778"/>
      <c r="L303" s="1862" t="s">
        <v>308</v>
      </c>
      <c r="M303" s="341"/>
      <c r="N303" s="334"/>
      <c r="O303" s="1624"/>
      <c r="P303" s="1624"/>
      <c r="AH303" s="1631">
        <v>0</v>
      </c>
    </row>
    <row s="1635" customFormat="1" customHeight="1" ht="18.75" hidden="1">
      <c r="A304" s="1780"/>
      <c r="B304" s="1780"/>
      <c r="C304" s="369" t="s">
        <v>1149</v>
      </c>
      <c r="D304" s="2462"/>
      <c r="E304" s="2204"/>
      <c r="F304" s="2383"/>
      <c r="G304" s="2427"/>
      <c r="H304" s="1500"/>
      <c r="I304" s="651" t="s">
        <v>1148</v>
      </c>
      <c r="J304" s="571"/>
      <c r="K304" s="1500"/>
      <c r="L304" s="214"/>
      <c r="M304" s="341"/>
      <c r="N304" s="334"/>
      <c r="O304" s="1624"/>
      <c r="P304" s="1624"/>
      <c r="AH304" s="1631">
        <v>0</v>
      </c>
    </row>
    <row s="1635" customFormat="1" customHeight="1" ht="0.75" hidden="1">
      <c r="A305" s="1780"/>
      <c r="B305" s="1780"/>
      <c r="C305" s="369" t="s">
        <v>1156</v>
      </c>
      <c r="D305" s="2462"/>
      <c r="E305" s="2204"/>
      <c r="F305" s="2383"/>
      <c r="G305" s="400"/>
      <c r="H305" s="1500"/>
      <c r="I305" s="651"/>
      <c r="J305" s="571"/>
      <c r="K305" s="1500"/>
      <c r="L305" s="214"/>
      <c r="M305" s="341"/>
      <c r="N305" s="334"/>
      <c r="O305" s="1624"/>
      <c r="P305" s="1624"/>
      <c r="AH305" s="1631">
        <v>0</v>
      </c>
    </row>
    <row s="1635" customFormat="1" customHeight="1" ht="18.75" hidden="1">
      <c r="A306" s="1780" t="s">
        <v>242</v>
      </c>
      <c r="B306" s="1780" t="s">
        <v>243</v>
      </c>
      <c r="C306" s="369"/>
      <c r="D306" s="2462"/>
      <c r="E306" s="2204"/>
      <c r="F306" s="2383" t="str">
        <f>INDEX(PT_DIFFERENTIATION_VTAR,MATCH(A306,PT_DIFFERENTIATION_VTAR_ID,0))</f>
        <v>Тариф на подвоз воды</v>
      </c>
      <c r="G306" s="2427" t="str">
        <f>INDEX(PT_DIFFERENTIATION_NTAR,MATCH(B306,PT_DIFFERENTIATION_NTAR_ID,0))</f>
        <v/>
      </c>
      <c r="H306" s="1862"/>
      <c r="I306" s="1739"/>
      <c r="J306" s="1773"/>
      <c r="K306" s="1778"/>
      <c r="L306" s="1862" t="s">
        <v>308</v>
      </c>
      <c r="M306" s="341"/>
      <c r="N306" s="334"/>
      <c r="O306" s="1624"/>
      <c r="P306" s="1624"/>
      <c r="AH306" s="1631">
        <v>0</v>
      </c>
    </row>
    <row s="1635" customFormat="1" customHeight="1" ht="18.75" hidden="1">
      <c r="A307" s="1780"/>
      <c r="B307" s="1780"/>
      <c r="C307" s="369" t="s">
        <v>1149</v>
      </c>
      <c r="D307" s="2462"/>
      <c r="E307" s="2204"/>
      <c r="F307" s="2383"/>
      <c r="G307" s="2427"/>
      <c r="H307" s="1500"/>
      <c r="I307" s="651" t="s">
        <v>1148</v>
      </c>
      <c r="J307" s="571"/>
      <c r="K307" s="1500"/>
      <c r="L307" s="214"/>
      <c r="M307" s="341"/>
      <c r="N307" s="334"/>
      <c r="O307" s="1624"/>
      <c r="P307" s="1624"/>
      <c r="AH307" s="1631">
        <v>0</v>
      </c>
    </row>
    <row s="1635" customFormat="1" customHeight="1" ht="0.75" hidden="1">
      <c r="A308" s="1780"/>
      <c r="B308" s="1780"/>
      <c r="C308" s="369" t="s">
        <v>1156</v>
      </c>
      <c r="D308" s="2462"/>
      <c r="E308" s="2204"/>
      <c r="F308" s="2383"/>
      <c r="G308" s="400"/>
      <c r="H308" s="1500"/>
      <c r="I308" s="651"/>
      <c r="J308" s="571"/>
      <c r="K308" s="1500"/>
      <c r="L308" s="214"/>
      <c r="M308" s="341"/>
      <c r="N308" s="334"/>
      <c r="O308" s="1624"/>
      <c r="P308" s="1624"/>
      <c r="AH308" s="1631">
        <v>0</v>
      </c>
    </row>
    <row s="1635" customFormat="1" customHeight="1" ht="18.75" hidden="1">
      <c r="A309" s="1780" t="s">
        <v>247</v>
      </c>
      <c r="B309" s="1780" t="s">
        <v>248</v>
      </c>
      <c r="C309" s="369"/>
      <c r="D309" s="2462"/>
      <c r="E309" s="2204"/>
      <c r="F309" s="2383" t="str">
        <f>INDEX(PT_DIFFERENTIATION_VTAR,MATCH(A309,PT_DIFFERENTIATION_VTAR_ID,0))</f>
        <v>Тариф на подключение (технологическое присоединение) к централизованной системе холодного водоснабжения</v>
      </c>
      <c r="G309" s="2427" t="str">
        <f>INDEX(PT_DIFFERENTIATION_NTAR,MATCH(B309,PT_DIFFERENTIATION_NTAR_ID,0))</f>
        <v/>
      </c>
      <c r="H309" s="1862"/>
      <c r="I309" s="1739"/>
      <c r="J309" s="1773"/>
      <c r="K309" s="1778"/>
      <c r="L309" s="1862" t="s">
        <v>308</v>
      </c>
      <c r="M309" s="341"/>
      <c r="N309" s="334"/>
      <c r="O309" s="1624"/>
      <c r="P309" s="1624"/>
      <c r="AH309" s="1631">
        <v>0</v>
      </c>
    </row>
    <row s="1635" customFormat="1" customHeight="1" ht="18.75" hidden="1">
      <c r="A310" s="1780"/>
      <c r="B310" s="1780"/>
      <c r="C310" s="369" t="s">
        <v>1149</v>
      </c>
      <c r="D310" s="2462"/>
      <c r="E310" s="2204"/>
      <c r="F310" s="2383"/>
      <c r="G310" s="2427"/>
      <c r="H310" s="1500"/>
      <c r="I310" s="651" t="s">
        <v>1148</v>
      </c>
      <c r="J310" s="571"/>
      <c r="K310" s="1500"/>
      <c r="L310" s="214"/>
      <c r="M310" s="341"/>
      <c r="N310" s="334"/>
      <c r="O310" s="1624"/>
      <c r="P310" s="1624"/>
      <c r="AH310" s="1631">
        <v>0</v>
      </c>
    </row>
    <row s="1635" customFormat="1" customHeight="1" ht="0.75" hidden="1">
      <c r="A311" s="1780"/>
      <c r="B311" s="1780"/>
      <c r="C311" s="369" t="s">
        <v>1156</v>
      </c>
      <c r="D311" s="2462"/>
      <c r="E311" s="2204"/>
      <c r="F311" s="2383"/>
      <c r="G311" s="400"/>
      <c r="H311" s="1500"/>
      <c r="I311" s="651"/>
      <c r="J311" s="571"/>
      <c r="K311" s="1500"/>
      <c r="L311" s="214"/>
      <c r="M311" s="341"/>
      <c r="N311" s="334"/>
      <c r="O311" s="1624"/>
      <c r="P311" s="1624"/>
      <c r="AH311" s="1631">
        <v>0</v>
      </c>
    </row>
    <row s="1635" customFormat="1" customHeight="1" ht="18.75" hidden="1">
      <c r="A312" s="1780" t="s">
        <v>252</v>
      </c>
      <c r="B312" s="1780" t="s">
        <v>253</v>
      </c>
      <c r="C312" s="369"/>
      <c r="D312" s="2462"/>
      <c r="E312" s="2204"/>
      <c r="F312" s="2383" t="str">
        <f>INDEX(PT_DIFFERENTIATION_VTAR,MATCH(A312,PT_DIFFERENTIATION_VTAR_ID,0))</f>
        <v>Тариф на горячую воду (горячее водоснабжение)</v>
      </c>
      <c r="G312" s="2427" t="str">
        <f>INDEX(PT_DIFFERENTIATION_NTAR,MATCH(B312,PT_DIFFERENTIATION_NTAR_ID,0))</f>
        <v/>
      </c>
      <c r="H312" s="1862"/>
      <c r="I312" s="1739"/>
      <c r="J312" s="1773"/>
      <c r="K312" s="1778"/>
      <c r="L312" s="1862" t="s">
        <v>308</v>
      </c>
      <c r="M312" s="341"/>
      <c r="N312" s="334"/>
      <c r="O312" s="1624"/>
      <c r="P312" s="1624"/>
      <c r="AH312" s="1631">
        <v>0</v>
      </c>
    </row>
    <row s="1635" customFormat="1" customHeight="1" ht="18.75" hidden="1">
      <c r="A313" s="1780"/>
      <c r="B313" s="1780"/>
      <c r="C313" s="369" t="s">
        <v>1149</v>
      </c>
      <c r="D313" s="2462"/>
      <c r="E313" s="2204"/>
      <c r="F313" s="2383"/>
      <c r="G313" s="2427"/>
      <c r="H313" s="1500"/>
      <c r="I313" s="651" t="s">
        <v>1148</v>
      </c>
      <c r="J313" s="571"/>
      <c r="K313" s="1500"/>
      <c r="L313" s="214"/>
      <c r="M313" s="341"/>
      <c r="N313" s="334"/>
      <c r="O313" s="1624"/>
      <c r="P313" s="1624"/>
      <c r="AH313" s="1631">
        <v>0</v>
      </c>
    </row>
    <row s="1635" customFormat="1" customHeight="1" ht="0.75" hidden="1">
      <c r="A314" s="1780"/>
      <c r="B314" s="1780"/>
      <c r="C314" s="369" t="s">
        <v>1156</v>
      </c>
      <c r="D314" s="2462"/>
      <c r="E314" s="2204"/>
      <c r="F314" s="2383"/>
      <c r="G314" s="400"/>
      <c r="H314" s="1500"/>
      <c r="I314" s="651"/>
      <c r="J314" s="571"/>
      <c r="K314" s="1500"/>
      <c r="L314" s="214"/>
      <c r="M314" s="341"/>
      <c r="N314" s="334"/>
      <c r="O314" s="1624"/>
      <c r="P314" s="1624"/>
      <c r="AH314" s="1631">
        <v>0</v>
      </c>
    </row>
    <row s="1635" customFormat="1" customHeight="1" ht="18.75" hidden="1">
      <c r="A315" s="1780" t="s">
        <v>257</v>
      </c>
      <c r="B315" s="1780" t="s">
        <v>258</v>
      </c>
      <c r="C315" s="369"/>
      <c r="D315" s="2462"/>
      <c r="E315" s="2204"/>
      <c r="F315" s="2383" t="str">
        <f>INDEX(PT_DIFFERENTIATION_VTAR,MATCH(A315,PT_DIFFERENTIATION_VTAR_ID,0))</f>
        <v>Тариф на транспортировку горячей воды</v>
      </c>
      <c r="G315" s="2427" t="str">
        <f>INDEX(PT_DIFFERENTIATION_NTAR,MATCH(B315,PT_DIFFERENTIATION_NTAR_ID,0))</f>
        <v/>
      </c>
      <c r="H315" s="1862"/>
      <c r="I315" s="1739"/>
      <c r="J315" s="1773"/>
      <c r="K315" s="1778"/>
      <c r="L315" s="1862" t="s">
        <v>308</v>
      </c>
      <c r="M315" s="341"/>
      <c r="N315" s="334"/>
      <c r="O315" s="1624"/>
      <c r="P315" s="1624"/>
      <c r="AH315" s="1631">
        <v>0</v>
      </c>
    </row>
    <row s="1635" customFormat="1" customHeight="1" ht="18.75" hidden="1">
      <c r="A316" s="1780"/>
      <c r="B316" s="1780"/>
      <c r="C316" s="369" t="s">
        <v>1149</v>
      </c>
      <c r="D316" s="2462"/>
      <c r="E316" s="2204"/>
      <c r="F316" s="2383"/>
      <c r="G316" s="2427"/>
      <c r="H316" s="1500"/>
      <c r="I316" s="651" t="s">
        <v>1148</v>
      </c>
      <c r="J316" s="571"/>
      <c r="K316" s="1500"/>
      <c r="L316" s="214"/>
      <c r="M316" s="341"/>
      <c r="N316" s="334"/>
      <c r="O316" s="1624"/>
      <c r="P316" s="1624"/>
      <c r="AH316" s="1631">
        <v>0</v>
      </c>
    </row>
    <row s="1635" customFormat="1" customHeight="1" ht="0.75" hidden="1">
      <c r="A317" s="1780"/>
      <c r="B317" s="1780"/>
      <c r="C317" s="369" t="s">
        <v>1156</v>
      </c>
      <c r="D317" s="2462"/>
      <c r="E317" s="2204"/>
      <c r="F317" s="2383"/>
      <c r="G317" s="400"/>
      <c r="H317" s="1500"/>
      <c r="I317" s="651"/>
      <c r="J317" s="571"/>
      <c r="K317" s="1500"/>
      <c r="L317" s="214"/>
      <c r="M317" s="341"/>
      <c r="N317" s="334"/>
      <c r="O317" s="1624"/>
      <c r="P317" s="1624"/>
      <c r="AH317" s="1631">
        <v>0</v>
      </c>
    </row>
    <row s="1635" customFormat="1" customHeight="1" ht="18.75" hidden="1">
      <c r="A318" s="1780" t="s">
        <v>262</v>
      </c>
      <c r="B318" s="1780" t="s">
        <v>263</v>
      </c>
      <c r="C318" s="369"/>
      <c r="D318" s="2462"/>
      <c r="E318" s="2204"/>
      <c r="F318" s="2383" t="str">
        <f>INDEX(PT_DIFFERENTIATION_VTAR,MATCH(A318,PT_DIFFERENTIATION_VTAR_ID,0))</f>
        <v>Тариф на подключение (технологическое присоединение) к централизованной системе горячего водоснабжения</v>
      </c>
      <c r="G318" s="2427" t="str">
        <f>INDEX(PT_DIFFERENTIATION_NTAR,MATCH(B318,PT_DIFFERENTIATION_NTAR_ID,0))</f>
        <v/>
      </c>
      <c r="H318" s="1862"/>
      <c r="I318" s="1739"/>
      <c r="J318" s="1773"/>
      <c r="K318" s="1778"/>
      <c r="L318" s="1862" t="s">
        <v>308</v>
      </c>
      <c r="M318" s="341"/>
      <c r="N318" s="334"/>
      <c r="O318" s="1624"/>
      <c r="P318" s="1624"/>
      <c r="AH318" s="1631">
        <v>0</v>
      </c>
    </row>
    <row s="1635" customFormat="1" customHeight="1" ht="18.75" hidden="1">
      <c r="A319" s="1780"/>
      <c r="B319" s="1780"/>
      <c r="C319" s="369" t="s">
        <v>1149</v>
      </c>
      <c r="D319" s="2462"/>
      <c r="E319" s="2204"/>
      <c r="F319" s="2383"/>
      <c r="G319" s="2427"/>
      <c r="H319" s="1500"/>
      <c r="I319" s="651" t="s">
        <v>1148</v>
      </c>
      <c r="J319" s="571"/>
      <c r="K319" s="1500"/>
      <c r="L319" s="214"/>
      <c r="M319" s="341"/>
      <c r="N319" s="334"/>
      <c r="O319" s="1624"/>
      <c r="P319" s="1624"/>
      <c r="AH319" s="1631">
        <v>0</v>
      </c>
    </row>
    <row s="1635" customFormat="1" customHeight="1" ht="0.75" hidden="1">
      <c r="A320" s="1780"/>
      <c r="B320" s="1780"/>
      <c r="C320" s="369" t="s">
        <v>1156</v>
      </c>
      <c r="D320" s="2462"/>
      <c r="E320" s="2204"/>
      <c r="F320" s="2383"/>
      <c r="G320" s="400"/>
      <c r="H320" s="1500"/>
      <c r="I320" s="651"/>
      <c r="J320" s="571"/>
      <c r="K320" s="1500"/>
      <c r="L320" s="214"/>
      <c r="M320" s="341"/>
      <c r="N320" s="334"/>
      <c r="O320" s="1624"/>
      <c r="P320" s="1624"/>
      <c r="AH320" s="1631">
        <v>0</v>
      </c>
    </row>
    <row s="1635" customFormat="1" customHeight="1" ht="18.75" hidden="1">
      <c r="A321" s="1780" t="s">
        <v>267</v>
      </c>
      <c r="B321" s="1780" t="s">
        <v>268</v>
      </c>
      <c r="C321" s="369"/>
      <c r="D321" s="2462"/>
      <c r="E321" s="2204"/>
      <c r="F321" s="2383" t="str">
        <f>INDEX(PT_DIFFERENTIATION_VTAR,MATCH(A321,PT_DIFFERENTIATION_VTAR_ID,0))</f>
        <v>Тариф на водоотведение</v>
      </c>
      <c r="G321" s="2427" t="str">
        <f>INDEX(PT_DIFFERENTIATION_NTAR,MATCH(B321,PT_DIFFERENTIATION_NTAR_ID,0))</f>
        <v/>
      </c>
      <c r="H321" s="1862"/>
      <c r="I321" s="1739"/>
      <c r="J321" s="1773"/>
      <c r="K321" s="1778"/>
      <c r="L321" s="1862" t="s">
        <v>308</v>
      </c>
      <c r="M321" s="341"/>
      <c r="N321" s="334"/>
      <c r="O321" s="1624"/>
      <c r="P321" s="1624"/>
      <c r="AH321" s="1631">
        <v>0</v>
      </c>
    </row>
    <row s="1635" customFormat="1" customHeight="1" ht="18.75" hidden="1">
      <c r="A322" s="1780"/>
      <c r="B322" s="1780"/>
      <c r="C322" s="369" t="s">
        <v>1149</v>
      </c>
      <c r="D322" s="2462"/>
      <c r="E322" s="2204"/>
      <c r="F322" s="2383"/>
      <c r="G322" s="2427"/>
      <c r="H322" s="1500"/>
      <c r="I322" s="651" t="s">
        <v>1148</v>
      </c>
      <c r="J322" s="571"/>
      <c r="K322" s="1500"/>
      <c r="L322" s="214"/>
      <c r="M322" s="341"/>
      <c r="N322" s="334"/>
      <c r="O322" s="1624"/>
      <c r="P322" s="1624"/>
      <c r="AH322" s="1631">
        <v>0</v>
      </c>
    </row>
    <row s="1635" customFormat="1" customHeight="1" ht="0.75" hidden="1">
      <c r="A323" s="1780"/>
      <c r="B323" s="1780"/>
      <c r="C323" s="369" t="s">
        <v>1156</v>
      </c>
      <c r="D323" s="2462"/>
      <c r="E323" s="2204"/>
      <c r="F323" s="2383"/>
      <c r="G323" s="400"/>
      <c r="H323" s="1500"/>
      <c r="I323" s="651"/>
      <c r="J323" s="571"/>
      <c r="K323" s="1500"/>
      <c r="L323" s="214"/>
      <c r="M323" s="341"/>
      <c r="N323" s="334"/>
      <c r="O323" s="1624"/>
      <c r="P323" s="1624"/>
      <c r="AH323" s="1631">
        <v>0</v>
      </c>
    </row>
    <row s="1635" customFormat="1" customHeight="1" ht="18.75" hidden="1">
      <c r="A324" s="1780" t="s">
        <v>272</v>
      </c>
      <c r="B324" s="1780" t="s">
        <v>273</v>
      </c>
      <c r="C324" s="369"/>
      <c r="D324" s="2462"/>
      <c r="E324" s="2204"/>
      <c r="F324" s="2383" t="str">
        <f>INDEX(PT_DIFFERENTIATION_VTAR,MATCH(A324,PT_DIFFERENTIATION_VTAR_ID,0))</f>
        <v>Тариф на транспортировку сточных вод</v>
      </c>
      <c r="G324" s="2427" t="str">
        <f>INDEX(PT_DIFFERENTIATION_NTAR,MATCH(B324,PT_DIFFERENTIATION_NTAR_ID,0))</f>
        <v/>
      </c>
      <c r="H324" s="1862"/>
      <c r="I324" s="1739"/>
      <c r="J324" s="1773"/>
      <c r="K324" s="1778"/>
      <c r="L324" s="1862" t="s">
        <v>308</v>
      </c>
      <c r="M324" s="341"/>
      <c r="N324" s="334"/>
      <c r="O324" s="1624"/>
      <c r="P324" s="1624"/>
      <c r="AH324" s="1631">
        <v>0</v>
      </c>
    </row>
    <row s="1635" customFormat="1" customHeight="1" ht="18.75" hidden="1">
      <c r="A325" s="1780"/>
      <c r="B325" s="1780"/>
      <c r="C325" s="369" t="s">
        <v>1149</v>
      </c>
      <c r="D325" s="2462"/>
      <c r="E325" s="2204"/>
      <c r="F325" s="2383"/>
      <c r="G325" s="2427"/>
      <c r="H325" s="1500"/>
      <c r="I325" s="651" t="s">
        <v>1148</v>
      </c>
      <c r="J325" s="571"/>
      <c r="K325" s="1500"/>
      <c r="L325" s="214"/>
      <c r="M325" s="341"/>
      <c r="N325" s="334"/>
      <c r="O325" s="1624"/>
      <c r="P325" s="1624"/>
      <c r="AH325" s="1631">
        <v>0</v>
      </c>
    </row>
    <row s="1635" customFormat="1" customHeight="1" ht="0.75" hidden="1">
      <c r="A326" s="1780"/>
      <c r="B326" s="1780"/>
      <c r="C326" s="369" t="s">
        <v>1156</v>
      </c>
      <c r="D326" s="2462"/>
      <c r="E326" s="2204"/>
      <c r="F326" s="2383"/>
      <c r="G326" s="400"/>
      <c r="H326" s="1500"/>
      <c r="I326" s="651"/>
      <c r="J326" s="571"/>
      <c r="K326" s="1500"/>
      <c r="L326" s="214"/>
      <c r="M326" s="341"/>
      <c r="N326" s="334"/>
      <c r="O326" s="1624"/>
      <c r="P326" s="1624"/>
      <c r="AH326" s="1631">
        <v>0</v>
      </c>
    </row>
    <row s="1635" customFormat="1" customHeight="1" ht="18.75" hidden="1">
      <c r="A327" s="1780" t="s">
        <v>277</v>
      </c>
      <c r="B327" s="1780" t="s">
        <v>278</v>
      </c>
      <c r="C327" s="369"/>
      <c r="D327" s="2462"/>
      <c r="E327" s="2204"/>
      <c r="F327" s="2383" t="str">
        <f>INDEX(PT_DIFFERENTIATION_VTAR,MATCH(A327,PT_DIFFERENTIATION_VTAR_ID,0))</f>
        <v>Тариф на подключение (технологическое присоединение) к централизованной системе водоотведения</v>
      </c>
      <c r="G327" s="2427" t="str">
        <f>INDEX(PT_DIFFERENTIATION_NTAR,MATCH(B327,PT_DIFFERENTIATION_NTAR_ID,0))</f>
        <v/>
      </c>
      <c r="H327" s="1862"/>
      <c r="I327" s="1739"/>
      <c r="J327" s="1773"/>
      <c r="K327" s="1778"/>
      <c r="L327" s="1862" t="s">
        <v>308</v>
      </c>
      <c r="M327" s="341"/>
      <c r="N327" s="334"/>
      <c r="O327" s="1624"/>
      <c r="P327" s="1624"/>
      <c r="AH327" s="1631">
        <v>0</v>
      </c>
    </row>
    <row s="1635" customFormat="1" customHeight="1" ht="18.75" hidden="1">
      <c r="A328" s="1780"/>
      <c r="B328" s="1780"/>
      <c r="C328" s="369" t="s">
        <v>1149</v>
      </c>
      <c r="D328" s="2462"/>
      <c r="E328" s="2204"/>
      <c r="F328" s="2383"/>
      <c r="G328" s="2427"/>
      <c r="H328" s="1500"/>
      <c r="I328" s="651" t="s">
        <v>1148</v>
      </c>
      <c r="J328" s="571"/>
      <c r="K328" s="1500"/>
      <c r="L328" s="214"/>
      <c r="M328" s="341"/>
      <c r="N328" s="334"/>
      <c r="O328" s="1624"/>
      <c r="P328" s="1624"/>
      <c r="AH328" s="1631">
        <v>0</v>
      </c>
    </row>
    <row s="1635" customFormat="1" customHeight="1" ht="1.05">
      <c r="A329" s="1780"/>
      <c r="B329" s="1780"/>
      <c r="C329" s="369" t="s">
        <v>1156</v>
      </c>
      <c r="D329" s="2462"/>
      <c r="E329" s="2204"/>
      <c r="F329" s="2383"/>
      <c r="G329" s="400"/>
      <c r="H329" s="1500"/>
      <c r="I329" s="651"/>
      <c r="J329" s="571"/>
      <c r="K329" s="1500"/>
      <c r="L329" s="214"/>
      <c r="M329" s="341"/>
      <c r="N329" s="334"/>
      <c r="O329" s="1624"/>
      <c r="P329" s="1624"/>
      <c r="AH329" s="1631">
        <v>1</v>
      </c>
    </row>
    <row s="1823" customFormat="1" customHeight="1" ht="3">
      <c r="A330" s="1780"/>
      <c r="B330" s="1780"/>
      <c r="C330" s="1781"/>
      <c r="E330" s="402"/>
      <c r="F330" s="402"/>
      <c r="G330" s="402"/>
      <c r="H330" s="402"/>
      <c r="I330" s="402"/>
      <c r="J330" s="402"/>
      <c r="K330" s="402"/>
      <c r="L330" s="402"/>
      <c r="M330" s="402"/>
      <c r="O330" s="196"/>
      <c r="P330" s="196"/>
      <c r="AH330" s="140">
        <v>3</v>
      </c>
    </row>
    <row customHeight="1" ht="26.25">
      <c r="E331" s="202"/>
      <c r="F331" s="2285"/>
      <c r="G331" s="2285"/>
      <c r="H331" s="2285"/>
      <c r="I331" s="2285"/>
      <c r="J331" s="2285"/>
      <c r="K331" s="2285"/>
      <c r="L331" s="2285"/>
      <c r="M331" s="2285"/>
      <c r="AH331" s="374">
        <v>25</v>
      </c>
    </row>
    <row customHeight="1" ht="14.25" hidden="1">
      <c r="A332" s="1779" t="s">
        <v>82</v>
      </c>
      <c r="B332" s="1779">
        <v>0</v>
      </c>
      <c r="C332" s="369">
        <v>0</v>
      </c>
      <c r="D332" s="344">
        <v>3</v>
      </c>
      <c r="E332" s="374">
        <v>6</v>
      </c>
      <c r="F332" s="374">
        <v>46</v>
      </c>
      <c r="G332" s="374">
        <v>35</v>
      </c>
      <c r="H332" s="374">
        <v>3</v>
      </c>
      <c r="I332" s="374">
        <v>11</v>
      </c>
      <c r="J332" s="374">
        <v>11</v>
      </c>
      <c r="K332" s="374">
        <v>35</v>
      </c>
      <c r="L332" s="374">
        <v>35</v>
      </c>
      <c r="M332" s="374">
        <v>84</v>
      </c>
      <c r="N332" s="374">
        <v>10</v>
      </c>
      <c r="O332" s="350">
        <v>10</v>
      </c>
      <c r="P332" s="350">
        <v>10</v>
      </c>
      <c r="Q332" s="374">
        <v>10</v>
      </c>
      <c r="R332" s="374">
        <v>10</v>
      </c>
      <c r="S332" s="374">
        <v>10</v>
      </c>
      <c r="T332" s="374">
        <v>10</v>
      </c>
      <c r="U332" s="374">
        <v>10</v>
      </c>
      <c r="V332" s="374">
        <v>10</v>
      </c>
      <c r="W332" s="374">
        <v>10</v>
      </c>
      <c r="X332" s="374">
        <v>10</v>
      </c>
      <c r="Y332" s="374">
        <v>10</v>
      </c>
      <c r="Z332" s="374">
        <v>10</v>
      </c>
      <c r="AA332" s="374">
        <v>10</v>
      </c>
      <c r="AB332" s="374">
        <v>10</v>
      </c>
      <c r="AC332" s="374">
        <v>10</v>
      </c>
      <c r="AD332" s="374">
        <v>10</v>
      </c>
      <c r="AE332" s="374">
        <v>10</v>
      </c>
      <c r="AF332" s="374">
        <v>10</v>
      </c>
      <c r="AG332" s="374">
        <v>10</v>
      </c>
      <c r="AH332" s="374">
        <v>14</v>
      </c>
    </row>
  </sheetData>
  <sheetProtection formatColumns="0" formatRows="0" autoFilter="0" sort="0" insertRows="0" insertColumns="1" deleteRows="0" deleteColumns="0"/>
  <mergeCells count="428">
    <mergeCell ref="G48:G49"/>
    <mergeCell ref="D111:D113"/>
    <mergeCell ref="E111:E113"/>
    <mergeCell ref="F111:F113"/>
    <mergeCell ref="G111:G112"/>
    <mergeCell ref="D172:D174"/>
    <mergeCell ref="E172:E174"/>
    <mergeCell ref="F172:F174"/>
    <mergeCell ref="G172:G173"/>
    <mergeCell ref="D69:D71"/>
    <mergeCell ref="E69:E71"/>
    <mergeCell ref="F69:F71"/>
    <mergeCell ref="D90:D92"/>
    <mergeCell ref="E90:E92"/>
    <mergeCell ref="D72:D74"/>
    <mergeCell ref="E72:E74"/>
    <mergeCell ref="F72:F74"/>
    <mergeCell ref="G157:G158"/>
    <mergeCell ref="G160:G161"/>
    <mergeCell ref="E48:E50"/>
    <mergeCell ref="F48:F50"/>
    <mergeCell ref="G96:G97"/>
    <mergeCell ref="G99:G100"/>
    <mergeCell ref="D75:D77"/>
    <mergeCell ref="F39:F41"/>
    <mergeCell ref="G2:G3"/>
    <mergeCell ref="G5:G6"/>
    <mergeCell ref="E14:L14"/>
    <mergeCell ref="G16:L16"/>
    <mergeCell ref="G17:L17"/>
    <mergeCell ref="E19:L19"/>
    <mergeCell ref="D24:D26"/>
    <mergeCell ref="M19:M21"/>
    <mergeCell ref="E20:E21"/>
    <mergeCell ref="F20:F21"/>
    <mergeCell ref="G20:G21"/>
    <mergeCell ref="H20:J20"/>
    <mergeCell ref="K20:K21"/>
    <mergeCell ref="L20:L21"/>
    <mergeCell ref="H21:I21"/>
    <mergeCell ref="H22:I22"/>
    <mergeCell ref="F23:L23"/>
    <mergeCell ref="G24:G25"/>
    <mergeCell ref="F24:F26"/>
    <mergeCell ref="E24:E26"/>
    <mergeCell ref="F306:F308"/>
    <mergeCell ref="G303:G304"/>
    <mergeCell ref="D42:D44"/>
    <mergeCell ref="E42:E44"/>
    <mergeCell ref="F42:F44"/>
    <mergeCell ref="D27:D29"/>
    <mergeCell ref="E27:E29"/>
    <mergeCell ref="F27:F29"/>
    <mergeCell ref="D30:D32"/>
    <mergeCell ref="E30:E32"/>
    <mergeCell ref="F30:F32"/>
    <mergeCell ref="D33:D35"/>
    <mergeCell ref="E33:E35"/>
    <mergeCell ref="F33:F35"/>
    <mergeCell ref="G27:G28"/>
    <mergeCell ref="G30:G31"/>
    <mergeCell ref="G33:G34"/>
    <mergeCell ref="G36:G37"/>
    <mergeCell ref="G39:G40"/>
    <mergeCell ref="D36:D38"/>
    <mergeCell ref="E36:E38"/>
    <mergeCell ref="F36:F38"/>
    <mergeCell ref="D39:D41"/>
    <mergeCell ref="E39:E41"/>
    <mergeCell ref="F331:M331"/>
    <mergeCell ref="F269:L269"/>
    <mergeCell ref="D270:D272"/>
    <mergeCell ref="E270:E272"/>
    <mergeCell ref="F270:F272"/>
    <mergeCell ref="D273:D275"/>
    <mergeCell ref="E273:E275"/>
    <mergeCell ref="F273:F275"/>
    <mergeCell ref="D276:D278"/>
    <mergeCell ref="D282:D284"/>
    <mergeCell ref="E282:E284"/>
    <mergeCell ref="F282:F284"/>
    <mergeCell ref="D285:D287"/>
    <mergeCell ref="E285:E287"/>
    <mergeCell ref="F285:F287"/>
    <mergeCell ref="E276:E278"/>
    <mergeCell ref="F276:F278"/>
    <mergeCell ref="D279:D281"/>
    <mergeCell ref="E279:E281"/>
    <mergeCell ref="F303:F305"/>
    <mergeCell ref="D306:D308"/>
    <mergeCell ref="E306:E308"/>
    <mergeCell ref="D327:D329"/>
    <mergeCell ref="E327:E329"/>
    <mergeCell ref="G45:G46"/>
    <mergeCell ref="G51:G52"/>
    <mergeCell ref="G54:G55"/>
    <mergeCell ref="G57:G58"/>
    <mergeCell ref="M209:M212"/>
    <mergeCell ref="M87:M90"/>
    <mergeCell ref="F147:L147"/>
    <mergeCell ref="M148:M151"/>
    <mergeCell ref="F208:L208"/>
    <mergeCell ref="F51:F53"/>
    <mergeCell ref="F54:F56"/>
    <mergeCell ref="F75:F77"/>
    <mergeCell ref="F78:F80"/>
    <mergeCell ref="F90:F92"/>
    <mergeCell ref="F93:F95"/>
    <mergeCell ref="M24:M83"/>
    <mergeCell ref="G42:G43"/>
    <mergeCell ref="G129:G130"/>
    <mergeCell ref="G132:G133"/>
    <mergeCell ref="G135:G136"/>
    <mergeCell ref="G138:G139"/>
    <mergeCell ref="G154:G155"/>
    <mergeCell ref="G90:G91"/>
    <mergeCell ref="G93:G94"/>
    <mergeCell ref="D45:D47"/>
    <mergeCell ref="E45:E47"/>
    <mergeCell ref="F45:F47"/>
    <mergeCell ref="D63:D65"/>
    <mergeCell ref="E63:E65"/>
    <mergeCell ref="F63:F65"/>
    <mergeCell ref="D66:D68"/>
    <mergeCell ref="E66:E68"/>
    <mergeCell ref="F66:F68"/>
    <mergeCell ref="D57:D59"/>
    <mergeCell ref="E57:E59"/>
    <mergeCell ref="F57:F59"/>
    <mergeCell ref="D60:D62"/>
    <mergeCell ref="E60:E62"/>
    <mergeCell ref="F60:F62"/>
    <mergeCell ref="D51:D53"/>
    <mergeCell ref="E51:E53"/>
    <mergeCell ref="D54:D56"/>
    <mergeCell ref="E54:E56"/>
    <mergeCell ref="D48:D50"/>
    <mergeCell ref="E75:E77"/>
    <mergeCell ref="D78:D80"/>
    <mergeCell ref="E78:E80"/>
    <mergeCell ref="D93:D95"/>
    <mergeCell ref="E93:E95"/>
    <mergeCell ref="D108:D110"/>
    <mergeCell ref="E108:E110"/>
    <mergeCell ref="F108:F110"/>
    <mergeCell ref="F96:F98"/>
    <mergeCell ref="D99:D101"/>
    <mergeCell ref="E99:E101"/>
    <mergeCell ref="F99:F101"/>
    <mergeCell ref="D81:D83"/>
    <mergeCell ref="E81:E83"/>
    <mergeCell ref="F81:F83"/>
    <mergeCell ref="D87:D89"/>
    <mergeCell ref="E87:E89"/>
    <mergeCell ref="F87:F89"/>
    <mergeCell ref="D96:D98"/>
    <mergeCell ref="E96:E98"/>
    <mergeCell ref="F84:L84"/>
    <mergeCell ref="H85:I85"/>
    <mergeCell ref="F86:L86"/>
    <mergeCell ref="G102:G103"/>
    <mergeCell ref="D114:D116"/>
    <mergeCell ref="E114:E116"/>
    <mergeCell ref="F114:F116"/>
    <mergeCell ref="D102:D104"/>
    <mergeCell ref="E102:E104"/>
    <mergeCell ref="F102:F104"/>
    <mergeCell ref="D105:D107"/>
    <mergeCell ref="E105:E107"/>
    <mergeCell ref="F105:F107"/>
    <mergeCell ref="D117:D119"/>
    <mergeCell ref="E117:E119"/>
    <mergeCell ref="F117:F119"/>
    <mergeCell ref="D120:D122"/>
    <mergeCell ref="E120:E122"/>
    <mergeCell ref="F120:F122"/>
    <mergeCell ref="G120:G121"/>
    <mergeCell ref="G123:G124"/>
    <mergeCell ref="G126:G127"/>
    <mergeCell ref="D123:D125"/>
    <mergeCell ref="E123:E125"/>
    <mergeCell ref="F123:F125"/>
    <mergeCell ref="D126:D128"/>
    <mergeCell ref="E126:E128"/>
    <mergeCell ref="F126:F128"/>
    <mergeCell ref="D135:D137"/>
    <mergeCell ref="E135:E137"/>
    <mergeCell ref="F135:F137"/>
    <mergeCell ref="D138:D140"/>
    <mergeCell ref="E138:E140"/>
    <mergeCell ref="F138:F140"/>
    <mergeCell ref="D129:D131"/>
    <mergeCell ref="E129:E131"/>
    <mergeCell ref="F129:F131"/>
    <mergeCell ref="D132:D134"/>
    <mergeCell ref="E132:E134"/>
    <mergeCell ref="F132:F134"/>
    <mergeCell ref="G141:G142"/>
    <mergeCell ref="G144:G145"/>
    <mergeCell ref="G148:G149"/>
    <mergeCell ref="G151:G152"/>
    <mergeCell ref="D160:D162"/>
    <mergeCell ref="E160:E162"/>
    <mergeCell ref="F160:F162"/>
    <mergeCell ref="D163:D165"/>
    <mergeCell ref="E163:E165"/>
    <mergeCell ref="F163:F165"/>
    <mergeCell ref="D154:D156"/>
    <mergeCell ref="D151:D153"/>
    <mergeCell ref="E151:E153"/>
    <mergeCell ref="F151:F153"/>
    <mergeCell ref="D141:D143"/>
    <mergeCell ref="E141:E143"/>
    <mergeCell ref="F141:F143"/>
    <mergeCell ref="D144:D146"/>
    <mergeCell ref="E144:E146"/>
    <mergeCell ref="F144:F146"/>
    <mergeCell ref="D148:D150"/>
    <mergeCell ref="E148:E150"/>
    <mergeCell ref="F148:F150"/>
    <mergeCell ref="E154:E156"/>
    <mergeCell ref="F154:F156"/>
    <mergeCell ref="D157:D159"/>
    <mergeCell ref="E157:E159"/>
    <mergeCell ref="F157:F159"/>
    <mergeCell ref="D166:D168"/>
    <mergeCell ref="E166:E168"/>
    <mergeCell ref="F166:F168"/>
    <mergeCell ref="D169:D171"/>
    <mergeCell ref="E169:E171"/>
    <mergeCell ref="F169:F171"/>
    <mergeCell ref="D190:D192"/>
    <mergeCell ref="E190:E192"/>
    <mergeCell ref="F190:F192"/>
    <mergeCell ref="D181:D183"/>
    <mergeCell ref="E181:E183"/>
    <mergeCell ref="F181:F183"/>
    <mergeCell ref="D184:D186"/>
    <mergeCell ref="E184:E186"/>
    <mergeCell ref="F184:F186"/>
    <mergeCell ref="D175:D177"/>
    <mergeCell ref="E175:E177"/>
    <mergeCell ref="F175:F177"/>
    <mergeCell ref="D178:D180"/>
    <mergeCell ref="E178:E180"/>
    <mergeCell ref="F178:F180"/>
    <mergeCell ref="G178:G179"/>
    <mergeCell ref="D187:D189"/>
    <mergeCell ref="E187:E189"/>
    <mergeCell ref="F187:F189"/>
    <mergeCell ref="D193:D195"/>
    <mergeCell ref="E193:E195"/>
    <mergeCell ref="F193:F195"/>
    <mergeCell ref="D196:D198"/>
    <mergeCell ref="E196:E198"/>
    <mergeCell ref="F196:F198"/>
    <mergeCell ref="G193:G194"/>
    <mergeCell ref="G196:G197"/>
    <mergeCell ref="D215:D217"/>
    <mergeCell ref="E215:E217"/>
    <mergeCell ref="F215:F217"/>
    <mergeCell ref="D205:D207"/>
    <mergeCell ref="E205:E207"/>
    <mergeCell ref="F205:F207"/>
    <mergeCell ref="D209:D211"/>
    <mergeCell ref="E209:E211"/>
    <mergeCell ref="F209:F211"/>
    <mergeCell ref="D199:D201"/>
    <mergeCell ref="E199:E201"/>
    <mergeCell ref="F199:F201"/>
    <mergeCell ref="D202:D204"/>
    <mergeCell ref="E202:E204"/>
    <mergeCell ref="F202:F204"/>
    <mergeCell ref="G202:G203"/>
    <mergeCell ref="D224:D226"/>
    <mergeCell ref="E224:E226"/>
    <mergeCell ref="F224:F226"/>
    <mergeCell ref="D227:D229"/>
    <mergeCell ref="E227:E229"/>
    <mergeCell ref="F227:F229"/>
    <mergeCell ref="G227:G228"/>
    <mergeCell ref="D212:D214"/>
    <mergeCell ref="E212:E214"/>
    <mergeCell ref="F212:F214"/>
    <mergeCell ref="D218:D220"/>
    <mergeCell ref="E218:E220"/>
    <mergeCell ref="F218:F220"/>
    <mergeCell ref="D221:D223"/>
    <mergeCell ref="E221:E223"/>
    <mergeCell ref="F221:F223"/>
    <mergeCell ref="D239:D241"/>
    <mergeCell ref="E239:E241"/>
    <mergeCell ref="F239:F241"/>
    <mergeCell ref="G233:G234"/>
    <mergeCell ref="D245:D247"/>
    <mergeCell ref="E245:E247"/>
    <mergeCell ref="F245:F247"/>
    <mergeCell ref="D242:D244"/>
    <mergeCell ref="E242:E244"/>
    <mergeCell ref="F242:F244"/>
    <mergeCell ref="D230:D232"/>
    <mergeCell ref="E230:E232"/>
    <mergeCell ref="F230:F232"/>
    <mergeCell ref="D236:D238"/>
    <mergeCell ref="E236:E238"/>
    <mergeCell ref="F236:F238"/>
    <mergeCell ref="D233:D235"/>
    <mergeCell ref="E233:E235"/>
    <mergeCell ref="F233:F235"/>
    <mergeCell ref="D248:D250"/>
    <mergeCell ref="E248:E250"/>
    <mergeCell ref="F248:F250"/>
    <mergeCell ref="G245:G246"/>
    <mergeCell ref="G248:G249"/>
    <mergeCell ref="G251:G252"/>
    <mergeCell ref="D266:D268"/>
    <mergeCell ref="E266:E268"/>
    <mergeCell ref="F266:F268"/>
    <mergeCell ref="D257:D259"/>
    <mergeCell ref="E257:E259"/>
    <mergeCell ref="F257:F259"/>
    <mergeCell ref="D260:D262"/>
    <mergeCell ref="E260:E262"/>
    <mergeCell ref="F260:F262"/>
    <mergeCell ref="D251:D253"/>
    <mergeCell ref="E251:E253"/>
    <mergeCell ref="F251:F253"/>
    <mergeCell ref="D254:D256"/>
    <mergeCell ref="E254:E256"/>
    <mergeCell ref="F254:F256"/>
    <mergeCell ref="G254:G255"/>
    <mergeCell ref="D263:D265"/>
    <mergeCell ref="E263:E265"/>
    <mergeCell ref="F263:F265"/>
    <mergeCell ref="F279:F281"/>
    <mergeCell ref="D297:D299"/>
    <mergeCell ref="E297:E299"/>
    <mergeCell ref="F297:F299"/>
    <mergeCell ref="D300:D302"/>
    <mergeCell ref="E300:E302"/>
    <mergeCell ref="F300:F302"/>
    <mergeCell ref="D288:D290"/>
    <mergeCell ref="E288:E290"/>
    <mergeCell ref="F288:F290"/>
    <mergeCell ref="D291:D293"/>
    <mergeCell ref="E291:E293"/>
    <mergeCell ref="F291:F293"/>
    <mergeCell ref="D294:D296"/>
    <mergeCell ref="E294:E296"/>
    <mergeCell ref="F294:F296"/>
    <mergeCell ref="F327:F329"/>
    <mergeCell ref="M270:M273"/>
    <mergeCell ref="D321:D323"/>
    <mergeCell ref="E321:E323"/>
    <mergeCell ref="F321:F323"/>
    <mergeCell ref="D324:D326"/>
    <mergeCell ref="E324:E326"/>
    <mergeCell ref="F324:F326"/>
    <mergeCell ref="D315:D317"/>
    <mergeCell ref="E315:E317"/>
    <mergeCell ref="F315:F317"/>
    <mergeCell ref="D318:D320"/>
    <mergeCell ref="E318:E320"/>
    <mergeCell ref="F318:F320"/>
    <mergeCell ref="D309:D311"/>
    <mergeCell ref="E309:E311"/>
    <mergeCell ref="F309:F311"/>
    <mergeCell ref="D312:D314"/>
    <mergeCell ref="E312:E314"/>
    <mergeCell ref="F312:F314"/>
    <mergeCell ref="D303:D305"/>
    <mergeCell ref="E303:E305"/>
    <mergeCell ref="G327:G328"/>
    <mergeCell ref="G273:G274"/>
    <mergeCell ref="G60:G61"/>
    <mergeCell ref="G63:G64"/>
    <mergeCell ref="G66:G67"/>
    <mergeCell ref="G69:G70"/>
    <mergeCell ref="G72:G73"/>
    <mergeCell ref="G75:G76"/>
    <mergeCell ref="G78:G79"/>
    <mergeCell ref="G81:G82"/>
    <mergeCell ref="G87:G88"/>
    <mergeCell ref="G315:G316"/>
    <mergeCell ref="G318:G319"/>
    <mergeCell ref="G321:G322"/>
    <mergeCell ref="G324:G325"/>
    <mergeCell ref="G306:G307"/>
    <mergeCell ref="G309:G310"/>
    <mergeCell ref="G312:G313"/>
    <mergeCell ref="G300:G301"/>
    <mergeCell ref="G257:G258"/>
    <mergeCell ref="G260:G261"/>
    <mergeCell ref="G263:G264"/>
    <mergeCell ref="G266:G267"/>
    <mergeCell ref="G270:G271"/>
    <mergeCell ref="G276:G277"/>
    <mergeCell ref="G279:G280"/>
    <mergeCell ref="G282:G283"/>
    <mergeCell ref="G285:G286"/>
    <mergeCell ref="G288:G289"/>
    <mergeCell ref="G291:G292"/>
    <mergeCell ref="G297:G298"/>
    <mergeCell ref="G294:G295"/>
    <mergeCell ref="G105:G106"/>
    <mergeCell ref="G108:G109"/>
    <mergeCell ref="G114:G115"/>
    <mergeCell ref="G117:G118"/>
    <mergeCell ref="G230:G231"/>
    <mergeCell ref="G236:G237"/>
    <mergeCell ref="G239:G240"/>
    <mergeCell ref="G242:G243"/>
    <mergeCell ref="G199:G200"/>
    <mergeCell ref="G205:G206"/>
    <mergeCell ref="G209:G210"/>
    <mergeCell ref="G212:G213"/>
    <mergeCell ref="G215:G216"/>
    <mergeCell ref="G166:G167"/>
    <mergeCell ref="G169:G170"/>
    <mergeCell ref="G175:G176"/>
    <mergeCell ref="G218:G219"/>
    <mergeCell ref="G221:G222"/>
    <mergeCell ref="G224:G225"/>
    <mergeCell ref="G181:G182"/>
    <mergeCell ref="G184:G185"/>
    <mergeCell ref="G187:G188"/>
    <mergeCell ref="G190:G191"/>
    <mergeCell ref="G163:G164"/>
  </mergeCells>
  <dataValidations count="4">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I10:J10 I39:J39 I24:J24 I27:J27 I30:J30 I33:J33 I36:J36 I42:J42 I45:J45 I51:J51 I54:J54 I57:J57 I60:J60 I63:J63 I66:J66 I69:J69 I72:J72 I75:J75 I78:J78 I209:J209 I212:J212 I215:J215 I218:J218 I221:J221 I224:J224 I227:J227 I230:J230 I236:J236 I239:J239 I242:J242 I245:J245 I248:J248 I251:J251 I254:J254 I257:J257 I260:J260 I8:J8 I81:J81 I144:J144 I90:J90 I93:J93 I96:J96 I99:J99 I102:J102 I105:J105 I108:J108 I114:J114 I117:J117 I120:J120 I123:J123 I126:J126 I129:J129 I132:J132 I135:J135 I138:J138 I141:J141 I148:J148 I87:J87 I151:J151 I154:J154 I157:J157 I160:J160 I163:J163 I166:J166 I169:J169 I175:J175 I178:J178 I181:J181 I184:J184 I187:J187 I193:J193 I196:J196 I199:J199 I202:J202 I205:J205 I190:J190 I263:J263 I266:J266 I270:J270 I273:J273 I276:J276 I279:J279 I282:J282 I285:J285 I288:J288 I291:J291 I297:J297 I300:J300 I303:J303 I306:J306 I309:J309 I312:J312 I315:J315 I318:J318 I321:J321 I324:J324 I327:J327 I2:J2 I5:J5 I48:J48 I111:J111 I172:J172 I233:J233 I294:J294"/>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L85">
      <formula1>900</formula1>
    </dataValidation>
    <dataValidation type="textLength" operator="lessThanOrEqual" allowBlank="1" showInputMessage="1" showErrorMessage="1" errorTitle="Ошибка" error="Допускается ввод не более 900 символов!" sqref="M148:M149 M209:M210 M23 M87:M88 M270:M271">
      <formula1>900</formula1>
    </dataValidation>
    <dataValidation type="decimal" allowBlank="1" showErrorMessage="1" errorTitle="Ошибка" error="Допускается ввод только действительных чисел!" sqref="K209 K212 K215 K218 K221 K224 K227 K230 K236 K239 K242 K245 K248 K251 K254 K257 K260 K263 K10 K87 K141 K138 K135 K132 K129 K126 K123 K120 K117 K114 K108 K105 K102 K99 K96 K93 K90 K148 K144 K151 K154 K157 K160 K163 K166 K169 K175 K178 K181 K184 K187 K193 K196 K199 K202 K205 K190 K266 K270 K273 K276 K279 K282 K285 K288 K291 K297 K300 K303 K306 K309 K312 K315 K318 K321 K324 K327 K5 K111 K172 K233 K294">
      <formula1>-9.99999999999999E+23</formula1>
      <formula2>9.99999999999999E+23</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drawing r:id="rId1"/>
</worksheet>
</file>

<file path=xl/worksheets/sheet4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5126195-A247-67BE-5996-8FB8C035EB14}" mc:Ignorable="x14ac xr xr2 xr3">
  <sheetPr>
    <tabColor theme="6" tint="0.4"/>
  </sheetPr>
  <dimension ref="A1:R17"/>
  <sheetViews>
    <sheetView showGridLines="0" zoomScale="90" workbookViewId="0">
      <pane xSplit="5" ySplit="9" topLeftCell="F10" activePane="bottomRight" state="frozen"/>
      <selection pane="bottomLeft" activeCell="A10" sqref="A10"/>
      <selection pane="topRight" activeCell="F1" sqref="F1"/>
      <selection pane="bottomRight" activeCell="A1" sqref="A1"/>
    </sheetView>
  </sheetViews>
  <sheetFormatPr defaultColWidth="10.57421875" customHeight="1" defaultRowHeight="14.25"/>
  <cols>
    <col min="1" max="1" style="2397" width="9.140625" hidden="1" customWidth="1"/>
    <col min="2" max="2" style="1366" width="9.140625" hidden="1" customWidth="1"/>
    <col min="3" max="3" style="344" width="3.00390625" customWidth="1"/>
    <col min="4" max="4" style="1635" width="6.00390625" customWidth="1"/>
    <col min="5" max="5" style="1635" width="53.00390625" customWidth="1"/>
    <col min="6" max="7" style="1635" width="35.00390625" customWidth="1"/>
    <col min="8" max="8" style="1635" width="89.00390625" customWidth="1"/>
    <col min="9" max="9" style="1635" width="10.00390625" customWidth="1"/>
    <col min="10" max="11" style="1624" width="10.00390625" customWidth="1"/>
    <col min="12" max="17" style="1635" width="10.00390625" customWidth="1"/>
    <col min="18" max="18" style="1635" width="10.57421875" hidden="1"/>
  </cols>
  <sheetData>
    <row customHeight="1" ht="22.5" hidden="1">
      <c r="N1" s="255"/>
      <c r="O1" s="255"/>
      <c r="Q1" s="255"/>
      <c r="R1" s="374" t="s">
        <v>14</v>
      </c>
    </row>
    <row s="1635" customFormat="1" customHeight="1" ht="18.75" hidden="1">
      <c r="A2" s="102"/>
      <c r="B2" s="1160"/>
      <c r="C2" s="1730" t="s">
        <v>122</v>
      </c>
      <c r="D2" s="1673"/>
      <c r="E2" s="1682"/>
      <c r="F2" s="257"/>
      <c r="G2" s="1161"/>
      <c r="H2" s="374"/>
      <c r="I2" s="1624"/>
      <c r="J2" s="1624"/>
      <c r="R2" s="1631">
        <v>0</v>
      </c>
    </row>
    <row customHeight="1" ht="14.25" hidden="1">
      <c r="R3" s="374">
        <v>0</v>
      </c>
    </row>
    <row customHeight="1" ht="6.3">
      <c r="C4" s="376"/>
      <c r="D4" s="363"/>
      <c r="E4" s="363"/>
      <c r="F4" s="363"/>
      <c r="G4" s="85"/>
      <c r="H4" s="85"/>
      <c r="R4" s="374">
        <v>6</v>
      </c>
    </row>
    <row customHeight="1" ht="34.5">
      <c r="C5" s="376"/>
      <c r="D5" s="2454" t="str">
        <f>PURCH_NAME_FORM</f>
        <v>Форма 17. Информация о способах приобретения, стоимости и об объемах товаров, необходимых регулируемой организации для производства товаров (оказания услуг) в сфере теплоснабжения, цены (тарифы) на которые подлежат регулированию, о способах приобретения, стоимости и об объемах товаров, необходимых для производства товаров и (или) оказания услуг единой теплоснабжающей организацией в ценовых зонах теплоснабжения, о способах приобретения, стоимости и об объемах товаров, необходимых для производства товаров и (или) оказания услуг теплоснабжающей организацией в ценовых зонах теплоснабжения и теплосетевой организацией в ценовых зонах теплоснабжения</v>
      </c>
      <c r="E5" s="2455"/>
      <c r="F5" s="2455"/>
      <c r="G5" s="2456"/>
      <c r="H5" s="266"/>
      <c r="R5" s="374">
        <v>33</v>
      </c>
    </row>
    <row s="1635" customFormat="1" customHeight="1" ht="18">
      <c r="A6" s="1669"/>
      <c r="B6" s="1160"/>
      <c r="C6" s="376"/>
      <c r="D6" s="2457" t="str">
        <f>IF(org=0,"Не определено",org)</f>
        <v>ПАО "ОГК-2"</v>
      </c>
      <c r="E6" s="2458"/>
      <c r="F6" s="2458"/>
      <c r="G6" s="2459"/>
      <c r="H6" s="266"/>
      <c r="J6" s="1624"/>
      <c r="K6" s="1624"/>
      <c r="R6" s="1631">
        <v>17</v>
      </c>
    </row>
    <row customHeight="1" ht="14.699999999999998">
      <c r="C7" s="376"/>
      <c r="D7" s="363"/>
      <c r="E7" s="389"/>
      <c r="F7" s="389"/>
      <c r="G7" s="752"/>
      <c r="H7" s="193"/>
      <c r="R7" s="374">
        <v>14</v>
      </c>
    </row>
    <row customHeight="1" ht="14.699999999999998">
      <c r="C8" s="376"/>
      <c r="D8" s="2209" t="s">
        <v>302</v>
      </c>
      <c r="E8" s="2209"/>
      <c r="F8" s="2209"/>
      <c r="G8" s="2209"/>
      <c r="H8" s="2389" t="s">
        <v>303</v>
      </c>
      <c r="R8" s="374">
        <v>14</v>
      </c>
    </row>
    <row customHeight="1" ht="24">
      <c r="C9" s="376"/>
      <c r="D9" s="386" t="s">
        <v>88</v>
      </c>
      <c r="E9" s="108" t="s">
        <v>304</v>
      </c>
      <c r="F9" s="108" t="s">
        <v>305</v>
      </c>
      <c r="G9" s="108" t="s">
        <v>392</v>
      </c>
      <c r="H9" s="2389"/>
      <c r="R9" s="374">
        <v>23</v>
      </c>
    </row>
    <row customHeight="1" ht="14.699999999999998">
      <c r="A10" s="343"/>
      <c r="C10" s="376"/>
      <c r="D10" s="147" t="s">
        <v>109</v>
      </c>
      <c r="E10" s="1886" t="str">
        <f>"Сведения о правовых актах, регламентирующих правила закупки (положение о закупках) в "&amp;IF(TEMPLATE_SPHERE="TKO","организации",IF(TEMPLATE_SPHERE="HEAT","регулируемой организации, единой теплоснабжающей организации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теплоснабжения","организации "&amp;TEMPLATE_SPHERE_RUS))</f>
        <v>Сведения о правовых актах, регламентирующих правила закупки (положение о закупках) в регулируемой организации, единой теплоснабжающей организации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v>
      </c>
      <c r="F10" s="257"/>
      <c r="G10" s="213"/>
      <c r="H10" s="2169" t="s">
        <v>1157</v>
      </c>
      <c r="R10" s="374">
        <v>14</v>
      </c>
    </row>
    <row customHeight="1" ht="14.699999999999998">
      <c r="A11" s="343"/>
      <c r="C11" s="376"/>
      <c r="D11" s="147" t="s">
        <v>110</v>
      </c>
      <c r="E11" s="1886" t="str">
        <f>"Сведения о месте размещения "&amp;IF(TEMPLATE_SPHERE="TKO","положения о закупках в организации",IF(TEMPLATE_SPHERE="HEAT","положения о закупке регулируемой организации, единой теплоснабжающей организации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теплоснабжения","правовых актов, регламентирующих правила закупки (положение о закупках) в организации "&amp;TEMPLATE_SPHERE_RUS))</f>
        <v>Сведения о месте размещения положения о закупке регулируемой организации, единой теплоснабжающей организации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v>
      </c>
      <c r="F11" s="257"/>
      <c r="G11" s="213"/>
      <c r="H11" s="2170"/>
      <c r="R11" s="374">
        <v>14</v>
      </c>
    </row>
    <row customHeight="1" ht="14.699999999999998">
      <c r="A12" s="102"/>
      <c r="C12" s="387"/>
      <c r="D12" s="147" t="s">
        <v>90</v>
      </c>
      <c r="E12" s="388" t="str">
        <f>"Сведения о планировании закупочных процедур"&amp;IF(TEMPLATE_SPHERE="TKO"," &lt;1&gt;","")</f>
        <v>Сведения о планировании закупочных процедур</v>
      </c>
      <c r="F12" s="257"/>
      <c r="G12" s="213"/>
      <c r="H12" s="2170" t="str">
        <f>"В случае наличия дополнительных сведений о способах приобретения, стоимости и объемах товаров, необходимых для производства "&amp;IF(OR(TEMPLATE_SPHERE="HEAT",TEMPLATE_SPHERE="TKO"),"","регулируемых ")&amp;"товаров и (или) оказания "&amp;IF(OR(TEMPLATE_SPHERE="HEAT",TEMPLATE_SPHERE="TKO"),"услуг организацией","регулируемых услуг регулируемой организацией")&amp;", информация по ним указывается в отдельных строках."</f>
        <v>В случае наличия дополнительных сведений о способах приобретения, стоимости и объемах товаров, необходимых для производства товаров и (или) оказания услуг организацией, информация по ним указывается в отдельных строках.</v>
      </c>
      <c r="I12" s="350"/>
      <c r="K12" s="374"/>
      <c r="R12" s="374">
        <v>14</v>
      </c>
    </row>
    <row customHeight="1" ht="14.699999999999998">
      <c r="A13" s="102"/>
      <c r="C13" s="387"/>
      <c r="D13" s="147" t="s">
        <v>91</v>
      </c>
      <c r="E13" s="388" t="str">
        <f>"Сведения о результатах проведения закупочных процедур"&amp;IF(TEMPLATE_SPHERE="TKO"," &lt;1&gt;","")</f>
        <v>Сведения о результатах проведения закупочных процедур</v>
      </c>
      <c r="F13" s="257"/>
      <c r="G13" s="213"/>
      <c r="H13" s="2170"/>
      <c r="I13" s="350"/>
      <c r="K13" s="374"/>
      <c r="R13" s="374">
        <v>14</v>
      </c>
    </row>
    <row customHeight="1" ht="14.699999999999998">
      <c r="A14" s="343"/>
      <c r="C14" s="376"/>
      <c r="D14" s="347"/>
      <c r="E14" s="395" t="s">
        <v>324</v>
      </c>
      <c r="F14" s="349"/>
      <c r="G14" s="201"/>
      <c r="H14" s="2171"/>
      <c r="R14" s="374">
        <v>14</v>
      </c>
    </row>
    <row s="1635" customFormat="1" customHeight="1" ht="14.699999999999998">
      <c r="A15" s="343"/>
      <c r="B15" s="1160"/>
      <c r="C15" s="376"/>
      <c r="D15" s="396"/>
      <c r="E15" s="1677"/>
      <c r="F15" s="1678"/>
      <c r="G15" s="1679"/>
      <c r="H15" s="1680"/>
      <c r="J15" s="1624"/>
      <c r="K15" s="1624"/>
      <c r="R15" s="1631">
        <v>14</v>
      </c>
    </row>
    <row customHeight="1" ht="14.699999999999998">
      <c r="D16" s="1681"/>
      <c r="E16" s="2385"/>
      <c r="F16" s="2385"/>
      <c r="G16" s="2385"/>
      <c r="H16" s="2385"/>
      <c r="R16" s="374">
        <v>14</v>
      </c>
    </row>
    <row customHeight="1" ht="22.5" hidden="1">
      <c r="A17" s="364" t="s">
        <v>82</v>
      </c>
      <c r="B17" s="146">
        <v>0</v>
      </c>
      <c r="C17" s="344">
        <v>3</v>
      </c>
      <c r="D17" s="374">
        <v>6</v>
      </c>
      <c r="E17" s="374">
        <v>53</v>
      </c>
      <c r="F17" s="374">
        <v>35</v>
      </c>
      <c r="G17" s="374">
        <v>35</v>
      </c>
      <c r="H17" s="374">
        <v>89</v>
      </c>
      <c r="I17" s="374">
        <v>10</v>
      </c>
      <c r="J17" s="350">
        <v>10</v>
      </c>
      <c r="K17" s="350">
        <v>10</v>
      </c>
      <c r="L17" s="374">
        <v>10</v>
      </c>
      <c r="M17" s="374">
        <v>10</v>
      </c>
      <c r="N17" s="374">
        <v>10</v>
      </c>
      <c r="O17" s="374">
        <v>10</v>
      </c>
      <c r="P17" s="374">
        <v>10</v>
      </c>
      <c r="Q17" s="374">
        <v>10</v>
      </c>
      <c r="R17" s="374">
        <v>23</v>
      </c>
    </row>
  </sheetData>
  <sheetProtection formatColumns="0" formatRows="0" autoFilter="0" sort="0" insertRows="0" insertColumns="1" deleteRows="0" deleteColumns="0"/>
  <mergeCells count="7">
    <mergeCell ref="E16:H16"/>
    <mergeCell ref="H10:H11"/>
    <mergeCell ref="H12:H14"/>
    <mergeCell ref="D5:G5"/>
    <mergeCell ref="D8:G8"/>
    <mergeCell ref="H8:H9"/>
    <mergeCell ref="D6:G6"/>
  </mergeCells>
  <dataValidations count="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либо ссылку на официальный сайт в сети «Интернет», на котором размещена информация" sqref="G2 G10:G13">
      <formula1>900</formula1>
    </dataValidation>
    <dataValidation type="textLength" operator="lessThanOrEqual" allowBlank="1" showInputMessage="1" showErrorMessage="1" errorTitle="Ошибка" error="Допускается ввод не более 900 символов!" sqref="H10 E13 E2:F2 F10:F13">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drawing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04FC464-4896-98F6-C4AA-4AFC36AFDC47}" mc:Ignorable="x14ac xr xr2 xr3">
  <sheetPr>
    <tabColor rgb="FFCCCCFF"/>
  </sheetPr>
  <dimension ref="A1:AR146"/>
  <sheetViews>
    <sheetView showGridLines="0" zoomScale="90" workbookViewId="0">
      <pane xSplit="6" ySplit="12" topLeftCell="G13" activePane="bottomRight" state="frozen"/>
      <selection pane="bottomLeft" activeCell="A13" sqref="A13"/>
      <selection pane="topRight" activeCell="G1" sqref="G1"/>
      <selection pane="bottomRight" activeCell="A1" sqref="A1"/>
    </sheetView>
  </sheetViews>
  <sheetFormatPr defaultColWidth="9.140625" customHeight="1" defaultRowHeight="11.25"/>
  <cols>
    <col min="1" max="2" style="1624" width="3.7109375" hidden="1" customWidth="1"/>
    <col min="3" max="3" style="1853" width="3.00390625" customWidth="1"/>
    <col min="4" max="4" style="1853" width="6.00390625" customWidth="1"/>
    <col min="5" max="5" style="1853" width="42.00390625" customWidth="1"/>
    <col min="6" max="6" style="1853" width="15.00390625" customWidth="1"/>
    <col min="7" max="7" style="1853" width="42.00390625" customWidth="1"/>
    <col min="8" max="8" style="1853" width="3.00390625" customWidth="1"/>
    <col min="9" max="9" style="1853" width="5.00390625" customWidth="1"/>
    <col min="10" max="10" style="1853" width="47.00390625" customWidth="1"/>
    <col min="11" max="12" style="1853" width="3.00390625" customWidth="1"/>
    <col min="13" max="13" style="1853" width="5.00390625" customWidth="1"/>
    <col min="14" max="14" style="1853" width="28.00390625" customWidth="1"/>
    <col min="15" max="16" style="1853" width="3.00390625" customWidth="1"/>
    <col min="17" max="17" style="1853" width="5.00390625" customWidth="1"/>
    <col min="18" max="18" style="1853" width="34.00390625" customWidth="1"/>
    <col min="19" max="20" style="1853" width="3.7109375" customWidth="1"/>
    <col min="21" max="21" style="1853" width="5.7109375" customWidth="1"/>
    <col min="22" max="22" style="1853" width="34.421875" customWidth="1"/>
    <col min="23" max="23" style="1853" width="30.00390625" customWidth="1"/>
    <col min="24" max="24" style="1853" width="3.00390625" customWidth="1"/>
    <col min="25" max="28" style="1266" width="9.8515625" hidden="1" customWidth="1"/>
    <col min="29" max="29" style="1266" width="27.00390625" hidden="1" customWidth="1"/>
    <col min="30" max="30" style="1266" width="10.57421875" hidden="1" customWidth="1"/>
    <col min="31" max="31" style="1266" width="10.7109375" hidden="1" customWidth="1"/>
    <col min="32" max="32" style="1266" width="10.00390625" hidden="1" customWidth="1"/>
    <col min="33" max="33" style="1266" width="12.8515625" hidden="1" customWidth="1"/>
    <col min="34" max="34" style="1266" width="24.421875" hidden="1" customWidth="1"/>
    <col min="35" max="35" style="1266" width="15.8515625" hidden="1" customWidth="1"/>
    <col min="36" max="36" style="1266" width="19.421875" hidden="1" customWidth="1"/>
    <col min="37" max="37" style="1266" width="11.00390625" hidden="1" customWidth="1"/>
    <col min="38" max="38" style="1266" width="23.57421875" hidden="1" customWidth="1"/>
    <col min="39" max="39" style="1266" width="23.8515625" hidden="1" customWidth="1"/>
    <col min="40" max="40" style="1266" width="25.28125" hidden="1" customWidth="1"/>
    <col min="41" max="41" style="1266" width="16.8515625" hidden="1" customWidth="1"/>
    <col min="42" max="42" style="1266" width="29.57421875" hidden="1" customWidth="1"/>
    <col min="43" max="43" style="1266" width="29.8515625" hidden="1" customWidth="1"/>
    <col min="44" max="44" style="1853" width="9.140625" hidden="1"/>
  </cols>
  <sheetData>
    <row customHeight="1" ht="11.25" hidden="1">
      <c r="A1" s="156"/>
      <c r="AR1" s="104" t="s">
        <v>14</v>
      </c>
    </row>
    <row customHeight="1" ht="11.25" hidden="1">
      <c r="AR2" s="104">
        <v>0</v>
      </c>
    </row>
    <row customHeight="1" ht="11.25" hidden="1">
      <c r="AR3" s="104">
        <v>0</v>
      </c>
    </row>
    <row customHeight="1" ht="3">
      <c r="AR4" s="104">
        <v>3</v>
      </c>
    </row>
    <row s="589" customFormat="1" customHeight="1" ht="30.45">
      <c r="A5" s="154"/>
      <c r="B5" s="154"/>
      <c r="D5" s="2157" t="str">
        <f>"Перечень тарифов и технологически не связанных между собой централизованных систем "&amp;TEMPLATE_SPHERE_RUS&amp;", в отношении которых предлагаются различные тарифы в сфере  "&amp;TEMPLATE_SPHERE_RUS&amp;IF(TEMPLATE_SPHERE="HEAT"," и горячего водоснабжения с использованием открытых систем "&amp;TEMPLATE_SPHERE_RUS,"")&amp;" (информация раскрывается отдельно по каждой системе  "&amp;TEMPLATE_SPHERE_RUS&amp;")"</f>
        <v>Перечень тарифов и технологически не связанных между собой централизованных систем теплоснабжения, в отношении которых предлагаются различные тарифы в сфере  теплоснабжения и горячего водоснабжения с использованием открытых систем теплоснабжения (информация раскрывается отдельно по каждой системе  теплоснабжения)</v>
      </c>
      <c r="E5" s="2158"/>
      <c r="F5" s="2158"/>
      <c r="G5" s="2158"/>
      <c r="H5" s="2158"/>
      <c r="I5" s="2158"/>
      <c r="J5" s="2159"/>
      <c r="K5" s="265"/>
      <c r="L5" s="142"/>
      <c r="M5" s="142"/>
      <c r="N5" s="142"/>
      <c r="O5" s="142"/>
      <c r="P5" s="142"/>
      <c r="Q5" s="142"/>
      <c r="R5" s="142"/>
      <c r="S5" s="290"/>
      <c r="T5" s="290"/>
      <c r="U5" s="290"/>
      <c r="V5" s="290"/>
      <c r="W5" s="142"/>
      <c r="Y5" s="1260"/>
      <c r="Z5" s="1260"/>
      <c r="AA5" s="1260"/>
      <c r="AB5" s="1260"/>
      <c r="AC5" s="1260"/>
      <c r="AD5" s="1260"/>
      <c r="AE5" s="1260"/>
      <c r="AF5" s="1260"/>
      <c r="AG5" s="1260"/>
      <c r="AH5" s="1260"/>
      <c r="AI5" s="1260"/>
      <c r="AJ5" s="1260"/>
      <c r="AK5" s="1260"/>
      <c r="AL5" s="1260"/>
      <c r="AM5" s="1260"/>
      <c r="AN5" s="1260"/>
      <c r="AO5" s="1260"/>
      <c r="AP5" s="1260"/>
      <c r="AQ5" s="1260"/>
      <c r="AR5" s="111">
        <v>29</v>
      </c>
    </row>
    <row s="589" customFormat="1" customHeight="1" ht="14.699999999999998">
      <c r="A6" s="585"/>
      <c r="B6" s="585"/>
      <c r="C6" s="585"/>
      <c r="D6" s="2163" t="str">
        <f>IF(org=0,"Не определено",org)</f>
        <v>ПАО "ОГК-2"</v>
      </c>
      <c r="E6" s="2163"/>
      <c r="F6" s="2163"/>
      <c r="G6" s="2163"/>
      <c r="H6" s="2163"/>
      <c r="I6" s="2163"/>
      <c r="J6" s="2163"/>
      <c r="K6" s="586"/>
      <c r="L6" s="586"/>
      <c r="M6" s="586"/>
      <c r="N6" s="586"/>
      <c r="O6" s="870"/>
      <c r="P6" s="870"/>
      <c r="Q6" s="870"/>
      <c r="R6" s="870"/>
      <c r="S6" s="870"/>
      <c r="T6" s="870"/>
      <c r="U6" s="870"/>
      <c r="V6" s="870"/>
      <c r="W6" s="870"/>
      <c r="X6" s="586"/>
      <c r="Y6" s="1261"/>
      <c r="Z6" s="1261"/>
      <c r="AA6" s="1261"/>
      <c r="AB6" s="1261"/>
      <c r="AC6" s="1261"/>
      <c r="AD6" s="1261"/>
      <c r="AE6" s="1261"/>
      <c r="AF6" s="1261"/>
      <c r="AG6" s="1261"/>
      <c r="AH6" s="1261"/>
      <c r="AI6" s="1261"/>
      <c r="AJ6" s="1261"/>
      <c r="AK6" s="1261"/>
      <c r="AL6" s="1261"/>
      <c r="AM6" s="1261"/>
      <c r="AN6" s="1261"/>
      <c r="AO6" s="1261"/>
      <c r="AP6" s="1261"/>
      <c r="AQ6" s="1261"/>
      <c r="AR6" s="587">
        <v>14</v>
      </c>
    </row>
    <row s="299" customFormat="1" customHeight="1" ht="11.549999999999999">
      <c r="A7" s="211"/>
      <c r="B7" s="211"/>
      <c r="D7" s="2160"/>
      <c r="E7" s="2161"/>
      <c r="F7" s="2161"/>
      <c r="G7" s="2161"/>
      <c r="H7" s="2161"/>
      <c r="I7" s="2161"/>
      <c r="J7" s="2162"/>
      <c r="S7" s="299"/>
      <c r="T7" s="299"/>
      <c r="U7" s="299"/>
      <c r="V7" s="299"/>
      <c r="Y7" s="1262"/>
      <c r="Z7" s="1262"/>
      <c r="AA7" s="1262"/>
      <c r="AB7" s="1262"/>
      <c r="AC7" s="1262"/>
      <c r="AD7" s="1262"/>
      <c r="AE7" s="1262"/>
      <c r="AF7" s="1262"/>
      <c r="AG7" s="1262"/>
      <c r="AH7" s="1262"/>
      <c r="AI7" s="1262"/>
      <c r="AJ7" s="1262"/>
      <c r="AK7" s="1262"/>
      <c r="AL7" s="1262"/>
      <c r="AM7" s="1262"/>
      <c r="AN7" s="1262"/>
      <c r="AO7" s="1262"/>
      <c r="AP7" s="1262"/>
      <c r="AQ7" s="1262"/>
      <c r="AR7" s="276">
        <v>11</v>
      </c>
    </row>
    <row s="589" customFormat="1" customHeight="1" ht="1.05">
      <c r="A8" s="154"/>
      <c r="B8" s="154"/>
      <c r="D8" s="212"/>
      <c r="E8" s="212"/>
      <c r="F8" s="212"/>
      <c r="G8" s="212"/>
      <c r="H8" s="212"/>
      <c r="I8" s="212"/>
      <c r="J8" s="212"/>
      <c r="K8" s="212"/>
      <c r="L8" s="212"/>
      <c r="M8" s="212"/>
      <c r="N8" s="212"/>
      <c r="O8" s="212"/>
      <c r="P8" s="212"/>
      <c r="Q8" s="212"/>
      <c r="R8" s="212"/>
      <c r="S8" s="212"/>
      <c r="T8" s="212"/>
      <c r="U8" s="212"/>
      <c r="V8" s="212"/>
      <c r="W8" s="212"/>
      <c r="X8" s="132"/>
      <c r="Y8" s="1260"/>
      <c r="Z8" s="1260"/>
      <c r="AA8" s="1260"/>
      <c r="AB8" s="1260"/>
      <c r="AC8" s="1260"/>
      <c r="AD8" s="1260"/>
      <c r="AE8" s="1260"/>
      <c r="AF8" s="1260"/>
      <c r="AG8" s="1260"/>
      <c r="AH8" s="1260"/>
      <c r="AI8" s="1260"/>
      <c r="AJ8" s="1260"/>
      <c r="AK8" s="1260"/>
      <c r="AL8" s="1260"/>
      <c r="AM8" s="1260"/>
      <c r="AN8" s="1260"/>
      <c r="AO8" s="1260"/>
      <c r="AP8" s="1260"/>
      <c r="AQ8" s="1260"/>
      <c r="AR8" s="111">
        <v>1</v>
      </c>
    </row>
    <row customHeight="1" ht="28.5">
      <c r="D9" s="2127" t="s">
        <v>88</v>
      </c>
      <c r="E9" s="2101" t="s">
        <v>126</v>
      </c>
      <c r="F9" s="2103"/>
      <c r="G9" s="2127" t="s">
        <v>105</v>
      </c>
      <c r="H9" s="2127" t="s">
        <v>88</v>
      </c>
      <c r="I9" s="2127"/>
      <c r="J9" s="2127" t="s">
        <v>127</v>
      </c>
      <c r="K9" s="2155" t="s">
        <v>128</v>
      </c>
      <c r="L9" s="2155"/>
      <c r="M9" s="2155"/>
      <c r="N9" s="2155"/>
      <c r="O9" s="2155" t="s">
        <v>129</v>
      </c>
      <c r="P9" s="2155"/>
      <c r="Q9" s="2155"/>
      <c r="R9" s="2155"/>
      <c r="S9" s="2155" t="s">
        <v>130</v>
      </c>
      <c r="T9" s="2155"/>
      <c r="U9" s="2155"/>
      <c r="V9" s="2155"/>
      <c r="W9" s="2127" t="s">
        <v>131</v>
      </c>
      <c r="AR9" s="104">
        <v>27</v>
      </c>
    </row>
    <row customHeight="1" ht="31.5">
      <c r="D10" s="2127"/>
      <c r="E10" s="1284" t="s">
        <v>89</v>
      </c>
      <c r="F10" s="1284" t="s">
        <v>132</v>
      </c>
      <c r="G10" s="2127"/>
      <c r="H10" s="2127"/>
      <c r="I10" s="2127"/>
      <c r="J10" s="2127"/>
      <c r="K10" s="110" t="s">
        <v>108</v>
      </c>
      <c r="L10" s="2127" t="s">
        <v>88</v>
      </c>
      <c r="M10" s="2127"/>
      <c r="N10" s="110" t="s">
        <v>133</v>
      </c>
      <c r="O10" s="110" t="s">
        <v>108</v>
      </c>
      <c r="P10" s="2127" t="s">
        <v>88</v>
      </c>
      <c r="Q10" s="2127"/>
      <c r="R10" s="110" t="s">
        <v>133</v>
      </c>
      <c r="S10" s="283" t="s">
        <v>108</v>
      </c>
      <c r="T10" s="2127" t="s">
        <v>88</v>
      </c>
      <c r="U10" s="2127"/>
      <c r="V10" s="283" t="s">
        <v>89</v>
      </c>
      <c r="W10" s="2127"/>
      <c r="Z10" s="1259" t="s">
        <v>134</v>
      </c>
      <c r="AA10" s="1259" t="s">
        <v>135</v>
      </c>
      <c r="AB10" s="1259" t="s">
        <v>136</v>
      </c>
      <c r="AC10" s="1259" t="s">
        <v>137</v>
      </c>
      <c r="AD10" s="1259" t="s">
        <v>138</v>
      </c>
      <c r="AE10" s="1259" t="s">
        <v>139</v>
      </c>
      <c r="AF10" s="1259" t="s">
        <v>140</v>
      </c>
      <c r="AG10" s="1259" t="s">
        <v>141</v>
      </c>
      <c r="AH10" s="1259" t="s">
        <v>142</v>
      </c>
      <c r="AI10" s="1259" t="s">
        <v>143</v>
      </c>
      <c r="AJ10" s="1259" t="s">
        <v>144</v>
      </c>
      <c r="AK10" s="1259" t="s">
        <v>145</v>
      </c>
      <c r="AL10" s="1259" t="s">
        <v>146</v>
      </c>
      <c r="AM10" s="1259" t="s">
        <v>147</v>
      </c>
      <c r="AN10" s="1259" t="s">
        <v>148</v>
      </c>
      <c r="AO10" s="1259" t="s">
        <v>149</v>
      </c>
      <c r="AP10" s="1259" t="s">
        <v>150</v>
      </c>
      <c r="AQ10" s="1259" t="s">
        <v>151</v>
      </c>
      <c r="AR10" s="104">
        <v>30</v>
      </c>
    </row>
    <row s="1624" customFormat="1" customHeight="1" ht="12" hidden="1">
      <c r="D11" s="1249" t="s">
        <v>109</v>
      </c>
      <c r="E11" s="1249" t="s">
        <v>110</v>
      </c>
      <c r="F11" s="1249"/>
      <c r="G11" s="1249" t="s">
        <v>90</v>
      </c>
      <c r="H11" s="2156" t="s">
        <v>111</v>
      </c>
      <c r="I11" s="2156"/>
      <c r="J11" s="1249" t="s">
        <v>92</v>
      </c>
      <c r="K11" s="1249" t="s">
        <v>93</v>
      </c>
      <c r="L11" s="2156" t="s">
        <v>112</v>
      </c>
      <c r="M11" s="2156"/>
      <c r="N11" s="1249" t="s">
        <v>152</v>
      </c>
      <c r="O11" s="1249" t="s">
        <v>153</v>
      </c>
      <c r="P11" s="2156" t="s">
        <v>154</v>
      </c>
      <c r="Q11" s="2156"/>
      <c r="R11" s="1249" t="s">
        <v>155</v>
      </c>
      <c r="S11" s="1249" t="s">
        <v>154</v>
      </c>
      <c r="T11" s="2156" t="s">
        <v>155</v>
      </c>
      <c r="U11" s="2156"/>
      <c r="V11" s="1249" t="s">
        <v>156</v>
      </c>
      <c r="W11" s="1249" t="s">
        <v>157</v>
      </c>
      <c r="Y11" s="1259"/>
      <c r="Z11" s="1259"/>
      <c r="AA11" s="1259"/>
      <c r="AB11" s="1259"/>
      <c r="AC11" s="1259"/>
      <c r="AD11" s="1259"/>
      <c r="AE11" s="1259"/>
      <c r="AF11" s="1259"/>
      <c r="AG11" s="1259"/>
      <c r="AH11" s="1259"/>
      <c r="AI11" s="1259"/>
      <c r="AJ11" s="1259"/>
      <c r="AK11" s="1259"/>
      <c r="AL11" s="1259"/>
      <c r="AM11" s="1259"/>
      <c r="AN11" s="1259"/>
      <c r="AO11" s="1259"/>
      <c r="AP11" s="1259"/>
      <c r="AQ11" s="1259"/>
      <c r="AR11" s="277">
        <v>0</v>
      </c>
    </row>
    <row customHeight="1" ht="14.25" hidden="1">
      <c r="C12" s="209"/>
      <c r="D12" s="1282">
        <v>0</v>
      </c>
      <c r="E12" s="250"/>
      <c r="F12" s="250"/>
      <c r="G12" s="250"/>
      <c r="H12" s="251"/>
      <c r="I12" s="251"/>
      <c r="J12" s="158"/>
      <c r="K12" s="112"/>
      <c r="L12" s="158"/>
      <c r="M12" s="158"/>
      <c r="N12" s="252"/>
      <c r="O12" s="112"/>
      <c r="P12" s="158"/>
      <c r="Q12" s="158"/>
      <c r="R12" s="253"/>
      <c r="S12" s="284"/>
      <c r="T12" s="292"/>
      <c r="U12" s="292"/>
      <c r="V12" s="296"/>
      <c r="W12" s="112"/>
      <c r="X12" s="141"/>
      <c r="AR12" s="104">
        <v>0</v>
      </c>
    </row>
    <row s="1853" customFormat="1" customHeight="1" ht="17.25" hidden="1">
      <c r="A13" s="321"/>
      <c r="C13" s="209"/>
      <c r="D13" s="2135">
        <v>1</v>
      </c>
      <c r="E13" s="2143" t="s">
        <v>158</v>
      </c>
      <c r="F13" s="2145" t="s">
        <v>19</v>
      </c>
      <c r="G13" s="2143"/>
      <c r="H13" s="2148"/>
      <c r="I13" s="2150"/>
      <c r="J13" s="2152"/>
      <c r="K13" s="2137"/>
      <c r="L13" s="2137"/>
      <c r="M13" s="2137"/>
      <c r="N13" s="2139"/>
      <c r="O13" s="2137"/>
      <c r="P13" s="2137"/>
      <c r="Q13" s="2137"/>
      <c r="R13" s="2142"/>
      <c r="S13" s="2137"/>
      <c r="T13" s="1420"/>
      <c r="U13" s="1420"/>
      <c r="V13" s="1419"/>
      <c r="W13" s="1296"/>
      <c r="Y13" s="1267"/>
      <c r="Z13" s="1267"/>
      <c r="AA13" s="1267"/>
      <c r="AB13" s="1267"/>
      <c r="AC13" s="1267" t="s">
        <v>159</v>
      </c>
      <c r="AD13" s="1267" t="s">
        <v>160</v>
      </c>
      <c r="AE13" s="1267" t="s">
        <v>161</v>
      </c>
      <c r="AF13" s="1267" t="s">
        <v>162</v>
      </c>
      <c r="AG13" s="1267" t="s">
        <v>163</v>
      </c>
      <c r="AH13" s="1267" t="str">
        <f>IF($E$13=0,"",$E$13)</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AI13" s="1267" t="str">
        <f>IF($G$13=0,"",$G$13)</f>
        <v/>
      </c>
      <c r="AJ13" s="1267" t="str">
        <f>IF($J$13=0,"",$J$13)</f>
        <v/>
      </c>
      <c r="AK13" s="1267" t="str">
        <f>IF($K$13="нет","без дифференциации",IF($N$13=0,"",$N$13))</f>
        <v/>
      </c>
      <c r="AL13" s="1267" t="str">
        <f>IF($O$13="нет","без дифференциации",IF($R$13=0,"",$R$13))</f>
        <v/>
      </c>
      <c r="AM13" s="1267" t="str">
        <f>IF($S$13="нет","без дифференциации",IF($V$13=0,"",$V$13))</f>
        <v/>
      </c>
      <c r="AN13" s="1267">
        <f>$I$13</f>
        <v>0</v>
      </c>
      <c r="AO13" s="1267" t="str">
        <f>$I$13&amp;"."&amp;$M$13</f>
        <v>.</v>
      </c>
      <c r="AP13" s="1267" t="str">
        <f>$I$13&amp;"."&amp;$M$13&amp;"."&amp;$Q$13</f>
        <v>..</v>
      </c>
      <c r="AQ13" s="1267" t="str">
        <f>$I$13&amp;"."&amp;$M$13&amp;"."&amp;$Q$13&amp;"."&amp;$U$13</f>
        <v>...</v>
      </c>
      <c r="AR13" s="750">
        <v>0</v>
      </c>
    </row>
    <row s="1853" customFormat="1" customHeight="1" ht="17.25" hidden="1">
      <c r="A14" s="321"/>
      <c r="C14" s="320"/>
      <c r="D14" s="2135"/>
      <c r="E14" s="2143"/>
      <c r="F14" s="2146"/>
      <c r="G14" s="2143"/>
      <c r="H14" s="2149"/>
      <c r="I14" s="2151"/>
      <c r="J14" s="2153"/>
      <c r="K14" s="2138"/>
      <c r="L14" s="2138"/>
      <c r="M14" s="2138"/>
      <c r="N14" s="2140"/>
      <c r="O14" s="2138"/>
      <c r="P14" s="2138"/>
      <c r="Q14" s="2138"/>
      <c r="R14" s="2141"/>
      <c r="S14" s="2138"/>
      <c r="T14" s="1297"/>
      <c r="U14" s="1297"/>
      <c r="V14" s="1297"/>
      <c r="W14" s="1298"/>
      <c r="Y14" s="1259"/>
      <c r="Z14" s="1259"/>
      <c r="AA14" s="1259"/>
      <c r="AB14" s="1259"/>
      <c r="AC14" s="1259"/>
      <c r="AD14" s="1259"/>
      <c r="AE14" s="1259"/>
      <c r="AF14" s="1259"/>
      <c r="AG14" s="1259"/>
      <c r="AH14" s="1259"/>
      <c r="AI14" s="1259"/>
      <c r="AJ14" s="1259"/>
      <c r="AK14" s="1259"/>
      <c r="AL14" s="1259"/>
      <c r="AM14" s="1259"/>
      <c r="AN14" s="1259"/>
      <c r="AO14" s="1259"/>
      <c r="AP14" s="1259"/>
      <c r="AQ14" s="1259"/>
      <c r="AR14" s="750">
        <v>0</v>
      </c>
    </row>
    <row s="1853" customFormat="1" customHeight="1" ht="17.25" hidden="1">
      <c r="A15" s="321"/>
      <c r="C15" s="209"/>
      <c r="D15" s="2135"/>
      <c r="E15" s="2143"/>
      <c r="F15" s="2146"/>
      <c r="G15" s="2143"/>
      <c r="H15" s="2149"/>
      <c r="I15" s="2151"/>
      <c r="J15" s="2154"/>
      <c r="K15" s="2138"/>
      <c r="L15" s="2138"/>
      <c r="M15" s="2138"/>
      <c r="N15" s="2141"/>
      <c r="O15" s="2138"/>
      <c r="P15" s="1418"/>
      <c r="Q15" s="1297"/>
      <c r="R15" s="1297"/>
      <c r="S15" s="329"/>
      <c r="T15" s="329"/>
      <c r="U15" s="329"/>
      <c r="V15" s="329"/>
      <c r="W15" s="1298"/>
      <c r="Y15" s="1267"/>
      <c r="Z15" s="1267"/>
      <c r="AA15" s="1267"/>
      <c r="AB15" s="1267"/>
      <c r="AC15" s="1267"/>
      <c r="AD15" s="1267"/>
      <c r="AE15" s="1267"/>
      <c r="AF15" s="1267"/>
      <c r="AG15" s="1267"/>
      <c r="AH15" s="1267"/>
      <c r="AI15" s="1267"/>
      <c r="AJ15" s="1267"/>
      <c r="AK15" s="1267"/>
      <c r="AL15" s="1267"/>
      <c r="AM15" s="1267"/>
      <c r="AN15" s="1267"/>
      <c r="AO15" s="1267"/>
      <c r="AP15" s="1267"/>
      <c r="AQ15" s="1267"/>
      <c r="AR15" s="1417">
        <v>0</v>
      </c>
    </row>
    <row s="1853" customFormat="1" customHeight="1" ht="17.25" hidden="1">
      <c r="A16" s="321"/>
      <c r="C16" s="320"/>
      <c r="D16" s="2135"/>
      <c r="E16" s="2143"/>
      <c r="F16" s="2146"/>
      <c r="G16" s="2143"/>
      <c r="H16" s="2149"/>
      <c r="I16" s="2151"/>
      <c r="J16" s="2154"/>
      <c r="K16" s="2138"/>
      <c r="L16" s="1297"/>
      <c r="M16" s="1297"/>
      <c r="N16" s="1297"/>
      <c r="O16" s="1297"/>
      <c r="P16" s="1297"/>
      <c r="Q16" s="1297"/>
      <c r="R16" s="1297"/>
      <c r="S16" s="329"/>
      <c r="T16" s="329"/>
      <c r="U16" s="329"/>
      <c r="V16" s="329"/>
      <c r="W16" s="1298"/>
      <c r="Y16" s="1259"/>
      <c r="Z16" s="1259"/>
      <c r="AA16" s="1259"/>
      <c r="AB16" s="1259"/>
      <c r="AC16" s="1259"/>
      <c r="AD16" s="1259"/>
      <c r="AE16" s="1259"/>
      <c r="AF16" s="1259"/>
      <c r="AG16" s="1259"/>
      <c r="AH16" s="1259"/>
      <c r="AI16" s="1259"/>
      <c r="AJ16" s="1259"/>
      <c r="AK16" s="1259"/>
      <c r="AL16" s="1259"/>
      <c r="AM16" s="1259"/>
      <c r="AN16" s="1259"/>
      <c r="AO16" s="1259"/>
      <c r="AP16" s="1259"/>
      <c r="AQ16" s="1259"/>
      <c r="AR16" s="1417">
        <v>0</v>
      </c>
    </row>
    <row s="1853" customFormat="1" customHeight="1" ht="17.25" hidden="1">
      <c r="A17" s="321"/>
      <c r="C17" s="320"/>
      <c r="D17" s="2136"/>
      <c r="E17" s="2144"/>
      <c r="F17" s="2147"/>
      <c r="G17" s="2144"/>
      <c r="H17" s="1299"/>
      <c r="I17" s="1300"/>
      <c r="J17" s="1300"/>
      <c r="K17" s="1300"/>
      <c r="L17" s="1300"/>
      <c r="M17" s="1300"/>
      <c r="N17" s="1300"/>
      <c r="O17" s="1300"/>
      <c r="P17" s="1300"/>
      <c r="Q17" s="1300"/>
      <c r="R17" s="1300"/>
      <c r="S17" s="1301"/>
      <c r="T17" s="1301"/>
      <c r="U17" s="1301"/>
      <c r="V17" s="1301"/>
      <c r="W17" s="1302"/>
      <c r="Y17" s="1259"/>
      <c r="Z17" s="1259"/>
      <c r="AA17" s="1259"/>
      <c r="AB17" s="1259"/>
      <c r="AC17" s="1259"/>
      <c r="AD17" s="1259"/>
      <c r="AE17" s="1259"/>
      <c r="AF17" s="1259"/>
      <c r="AG17" s="1259"/>
      <c r="AH17" s="1259"/>
      <c r="AI17" s="1259"/>
      <c r="AJ17" s="1259"/>
      <c r="AK17" s="1259"/>
      <c r="AL17" s="1259"/>
      <c r="AM17" s="1259"/>
      <c r="AN17" s="1259"/>
      <c r="AO17" s="1259"/>
      <c r="AP17" s="1259"/>
      <c r="AQ17" s="1259"/>
      <c r="AR17" s="750">
        <v>0</v>
      </c>
    </row>
    <row s="1853" customFormat="1" customHeight="1" ht="17.25" hidden="1">
      <c r="A18" s="321"/>
      <c r="C18" s="209"/>
      <c r="D18" s="2135">
        <v>2</v>
      </c>
      <c r="E18" s="2164"/>
      <c r="F18" s="2145" t="s">
        <v>19</v>
      </c>
      <c r="G18" s="2143"/>
      <c r="H18" s="2148"/>
      <c r="I18" s="2150"/>
      <c r="J18" s="2152"/>
      <c r="K18" s="2137"/>
      <c r="L18" s="2137"/>
      <c r="M18" s="2137"/>
      <c r="N18" s="2139"/>
      <c r="O18" s="2137"/>
      <c r="P18" s="2137"/>
      <c r="Q18" s="2137"/>
      <c r="R18" s="2142"/>
      <c r="S18" s="2137"/>
      <c r="T18" s="1420"/>
      <c r="U18" s="1420"/>
      <c r="V18" s="1419"/>
      <c r="W18" s="1296"/>
      <c r="X18" s="1267"/>
      <c r="Y18" s="1267"/>
      <c r="Z18" s="1267"/>
      <c r="AA18" s="1267"/>
      <c r="AB18" s="1267"/>
      <c r="AC18" s="1267" t="s">
        <v>164</v>
      </c>
      <c r="AD18" s="1267" t="s">
        <v>165</v>
      </c>
      <c r="AE18" s="1267" t="s">
        <v>166</v>
      </c>
      <c r="AF18" s="1267" t="s">
        <v>167</v>
      </c>
      <c r="AG18" s="1267" t="s">
        <v>168</v>
      </c>
      <c r="AH18" s="1267" t="str">
        <f>IF($E$18=0,"",$E$18)</f>
        <v/>
      </c>
      <c r="AI18" s="1267" t="str">
        <f>IF($G$18=0,"",$G$18)</f>
        <v/>
      </c>
      <c r="AJ18" s="1267" t="str">
        <f>IF($J$18=0,"",$J$18)</f>
        <v/>
      </c>
      <c r="AK18" s="1267" t="str">
        <f>IF($K$18="нет","без дифференциации",IF($N$18=0,"",$N$18))</f>
        <v/>
      </c>
      <c r="AL18" s="1267" t="str">
        <f>IF($O$18="нет","без дифференциации",IF($R$18=0,"",$R$18))</f>
        <v/>
      </c>
      <c r="AM18" s="1267" t="str">
        <f>IF($S$18="нет","без дифференциации",IF($V$18=0,"",$V$18))</f>
        <v/>
      </c>
      <c r="AN18" s="1772">
        <f>$I$18</f>
        <v>0</v>
      </c>
      <c r="AO18" s="1267" t="str">
        <f>$I$18&amp;"."&amp;$M$18</f>
        <v>.</v>
      </c>
      <c r="AP18" s="1259" t="str">
        <f>$I$18&amp;"."&amp;$M$18&amp;"."&amp;$Q$18</f>
        <v>..</v>
      </c>
      <c r="AQ18" s="1259" t="str">
        <f>$I$18&amp;"."&amp;$M$18&amp;"."&amp;$Q$18&amp;"."&amp;$U$18</f>
        <v>...</v>
      </c>
      <c r="AR18" s="1283">
        <v>0</v>
      </c>
    </row>
    <row s="1853" customFormat="1" customHeight="1" ht="17.25" hidden="1">
      <c r="A19" s="321"/>
      <c r="C19" s="320"/>
      <c r="D19" s="2135"/>
      <c r="E19" s="2164"/>
      <c r="F19" s="2146"/>
      <c r="G19" s="2143"/>
      <c r="H19" s="2149"/>
      <c r="I19" s="2151"/>
      <c r="J19" s="2153"/>
      <c r="K19" s="2138"/>
      <c r="L19" s="2138"/>
      <c r="M19" s="2138"/>
      <c r="N19" s="2140"/>
      <c r="O19" s="2138"/>
      <c r="P19" s="2138"/>
      <c r="Q19" s="2138"/>
      <c r="R19" s="2141"/>
      <c r="S19" s="2138"/>
      <c r="T19" s="1297"/>
      <c r="U19" s="1297"/>
      <c r="V19" s="1297"/>
      <c r="W19" s="1298"/>
      <c r="X19" s="1259"/>
      <c r="Y19" s="1259"/>
      <c r="Z19" s="1259"/>
      <c r="AA19" s="1259"/>
      <c r="AB19" s="1259"/>
      <c r="AC19" s="1259"/>
      <c r="AD19" s="1259"/>
      <c r="AE19" s="1259"/>
      <c r="AF19" s="1259"/>
      <c r="AG19" s="1259"/>
      <c r="AH19" s="1259"/>
      <c r="AI19" s="1259"/>
      <c r="AJ19" s="1259"/>
      <c r="AK19" s="1259"/>
      <c r="AL19" s="1259"/>
      <c r="AM19" s="1259"/>
      <c r="AN19" s="1259"/>
      <c r="AO19" s="1259"/>
      <c r="AP19" s="1259"/>
      <c r="AQ19" s="1259"/>
      <c r="AR19" s="1283">
        <v>0</v>
      </c>
    </row>
    <row s="1853" customFormat="1" customHeight="1" ht="17.25" hidden="1">
      <c r="A20" s="321"/>
      <c r="C20" s="320"/>
      <c r="D20" s="2136"/>
      <c r="E20" s="2165"/>
      <c r="F20" s="2146"/>
      <c r="G20" s="2144"/>
      <c r="H20" s="2149"/>
      <c r="I20" s="2151"/>
      <c r="J20" s="2154"/>
      <c r="K20" s="2138"/>
      <c r="L20" s="2138"/>
      <c r="M20" s="2138"/>
      <c r="N20" s="2141"/>
      <c r="O20" s="2138"/>
      <c r="P20" s="1418"/>
      <c r="Q20" s="1297"/>
      <c r="R20" s="1297"/>
      <c r="S20" s="329"/>
      <c r="T20" s="329"/>
      <c r="U20" s="329"/>
      <c r="V20" s="329"/>
      <c r="W20" s="1298"/>
      <c r="X20" s="1259"/>
      <c r="Y20" s="1259"/>
      <c r="Z20" s="1259"/>
      <c r="AA20" s="1259"/>
      <c r="AB20" s="1259"/>
      <c r="AC20" s="1259"/>
      <c r="AD20" s="1259"/>
      <c r="AE20" s="1259"/>
      <c r="AF20" s="1259"/>
      <c r="AG20" s="1259"/>
      <c r="AH20" s="1259"/>
      <c r="AI20" s="1259"/>
      <c r="AJ20" s="1259"/>
      <c r="AK20" s="1259"/>
      <c r="AL20" s="1259"/>
      <c r="AM20" s="1259"/>
      <c r="AN20" s="1259"/>
      <c r="AO20" s="1259"/>
      <c r="AP20" s="1259"/>
      <c r="AQ20" s="1259"/>
      <c r="AR20" s="1283">
        <v>0</v>
      </c>
    </row>
    <row s="1853" customFormat="1" customHeight="1" ht="17.25" hidden="1">
      <c r="A21" s="321"/>
      <c r="C21" s="320"/>
      <c r="D21" s="2136"/>
      <c r="E21" s="2165"/>
      <c r="F21" s="2146"/>
      <c r="G21" s="2144"/>
      <c r="H21" s="2149"/>
      <c r="I21" s="2151"/>
      <c r="J21" s="2154"/>
      <c r="K21" s="2138"/>
      <c r="L21" s="1297"/>
      <c r="M21" s="1297"/>
      <c r="N21" s="1297"/>
      <c r="O21" s="1297"/>
      <c r="P21" s="1297"/>
      <c r="Q21" s="1297"/>
      <c r="R21" s="1297"/>
      <c r="S21" s="329"/>
      <c r="T21" s="329"/>
      <c r="U21" s="329"/>
      <c r="V21" s="329"/>
      <c r="W21" s="1298"/>
      <c r="X21" s="1259"/>
      <c r="Y21" s="1259"/>
      <c r="Z21" s="1259"/>
      <c r="AA21" s="1259"/>
      <c r="AB21" s="1259"/>
      <c r="AC21" s="1259"/>
      <c r="AD21" s="1259"/>
      <c r="AE21" s="1259"/>
      <c r="AF21" s="1259"/>
      <c r="AG21" s="1259"/>
      <c r="AH21" s="1259"/>
      <c r="AI21" s="1259"/>
      <c r="AJ21" s="1259"/>
      <c r="AK21" s="1259"/>
      <c r="AL21" s="1259"/>
      <c r="AM21" s="1259"/>
      <c r="AN21" s="1259"/>
      <c r="AO21" s="1259"/>
      <c r="AP21" s="1259"/>
      <c r="AQ21" s="1259"/>
      <c r="AR21" s="1283">
        <v>0</v>
      </c>
    </row>
    <row s="1853" customFormat="1" customHeight="1" ht="17.25" hidden="1">
      <c r="A22" s="321"/>
      <c r="C22" s="320"/>
      <c r="D22" s="2136"/>
      <c r="E22" s="2165"/>
      <c r="F22" s="2147"/>
      <c r="G22" s="2144"/>
      <c r="H22" s="1299"/>
      <c r="I22" s="1300"/>
      <c r="J22" s="1300"/>
      <c r="K22" s="1300"/>
      <c r="L22" s="1300"/>
      <c r="M22" s="1300"/>
      <c r="N22" s="1300"/>
      <c r="O22" s="1300"/>
      <c r="P22" s="1300"/>
      <c r="Q22" s="1300"/>
      <c r="R22" s="1300"/>
      <c r="S22" s="1301"/>
      <c r="T22" s="1301"/>
      <c r="U22" s="1301"/>
      <c r="V22" s="1301"/>
      <c r="W22" s="1302"/>
      <c r="X22" s="1259"/>
      <c r="Y22" s="1259"/>
      <c r="Z22" s="1259"/>
      <c r="AA22" s="1259"/>
      <c r="AB22" s="1259"/>
      <c r="AC22" s="1259"/>
      <c r="AD22" s="1259"/>
      <c r="AE22" s="1259"/>
      <c r="AF22" s="1259"/>
      <c r="AG22" s="1259"/>
      <c r="AH22" s="1259"/>
      <c r="AI22" s="1259"/>
      <c r="AJ22" s="1259"/>
      <c r="AK22" s="1259"/>
      <c r="AL22" s="1259"/>
      <c r="AM22" s="1259"/>
      <c r="AN22" s="1259"/>
      <c r="AO22" s="1259"/>
      <c r="AP22" s="1259"/>
      <c r="AQ22" s="1259"/>
      <c r="AR22" s="1283">
        <v>0</v>
      </c>
    </row>
    <row s="1853" customFormat="1" customHeight="1" ht="17.25" hidden="1">
      <c r="A23" s="321"/>
      <c r="C23" s="209"/>
      <c r="D23" s="2135">
        <v>2</v>
      </c>
      <c r="E23" s="2143" t="s">
        <v>169</v>
      </c>
      <c r="F23" s="2145" t="s">
        <v>19</v>
      </c>
      <c r="G23" s="2143"/>
      <c r="H23" s="2148"/>
      <c r="I23" s="2150"/>
      <c r="J23" s="2152"/>
      <c r="K23" s="2137"/>
      <c r="L23" s="2137"/>
      <c r="M23" s="2137"/>
      <c r="N23" s="2139"/>
      <c r="O23" s="2137"/>
      <c r="P23" s="2137"/>
      <c r="Q23" s="2137"/>
      <c r="R23" s="2142"/>
      <c r="S23" s="2137"/>
      <c r="T23" s="1998"/>
      <c r="U23" s="1998"/>
      <c r="V23" s="2000"/>
      <c r="W23" s="1296"/>
      <c r="X23" s="1267"/>
      <c r="Y23" s="1267"/>
      <c r="Z23" s="1267"/>
      <c r="AA23" s="1267"/>
      <c r="AB23" s="1267"/>
      <c r="AC23" s="1267" t="s">
        <v>164</v>
      </c>
      <c r="AD23" s="1267" t="s">
        <v>165</v>
      </c>
      <c r="AE23" s="1267" t="s">
        <v>166</v>
      </c>
      <c r="AF23" s="1267" t="s">
        <v>167</v>
      </c>
      <c r="AG23" s="1267" t="s">
        <v>168</v>
      </c>
      <c r="AH23" s="1267" t="str">
        <f>IF($E$23=0,"",$E$23)</f>
        <v>Тарифы на тепловую энергию (мощность), поставляемую теплоснабжающими организациями потребителям, другим теплоснабжающим организациям</v>
      </c>
      <c r="AI23" s="1267" t="str">
        <f>IF($G$23=0,"",$G$23)</f>
        <v/>
      </c>
      <c r="AJ23" s="1267" t="str">
        <f>IF($J$23=0,"",$J$23)</f>
        <v/>
      </c>
      <c r="AK23" s="1267" t="str">
        <f>IF($K$23="нет","без дифференциации",IF($N$23=0,"",$N$23))</f>
        <v/>
      </c>
      <c r="AL23" s="1267" t="str">
        <f>IF($O$23="нет","без дифференциации",IF($R$23=0,"",$R$23))</f>
        <v/>
      </c>
      <c r="AM23" s="1267" t="str">
        <f>IF($S$23="нет","без дифференциации",IF($V$23=0,"",$V$23))</f>
        <v/>
      </c>
      <c r="AN23" s="1772">
        <f>$I$23</f>
        <v>0</v>
      </c>
      <c r="AO23" s="1267" t="str">
        <f>$I$23&amp;"."&amp;$M$23</f>
        <v>.</v>
      </c>
      <c r="AP23" s="1266" t="str">
        <f>$I$23&amp;"."&amp;$M$23&amp;"."&amp;$Q$23</f>
        <v>..</v>
      </c>
      <c r="AQ23" s="1266" t="str">
        <f>$I$23&amp;"."&amp;$M$23&amp;"."&amp;$Q$23&amp;"."&amp;$U$23</f>
        <v>...</v>
      </c>
      <c r="AR23" s="1467">
        <v>0</v>
      </c>
    </row>
    <row s="1853" customFormat="1" customHeight="1" ht="17.25" hidden="1">
      <c r="A24" s="321"/>
      <c r="C24" s="320"/>
      <c r="D24" s="2135"/>
      <c r="E24" s="2143"/>
      <c r="F24" s="2146"/>
      <c r="G24" s="2143"/>
      <c r="H24" s="2149"/>
      <c r="I24" s="2151"/>
      <c r="J24" s="2153"/>
      <c r="K24" s="2138"/>
      <c r="L24" s="2138"/>
      <c r="M24" s="2138"/>
      <c r="N24" s="2140"/>
      <c r="O24" s="2138"/>
      <c r="P24" s="2138"/>
      <c r="Q24" s="2138"/>
      <c r="R24" s="2141"/>
      <c r="S24" s="2138"/>
      <c r="T24" s="2003"/>
      <c r="U24" s="2003"/>
      <c r="V24" s="2003"/>
      <c r="W24" s="2004"/>
      <c r="X24" s="1266"/>
      <c r="Y24" s="1266"/>
      <c r="Z24" s="1266"/>
      <c r="AA24" s="1266"/>
      <c r="AB24" s="1266"/>
      <c r="AC24" s="1266"/>
      <c r="AD24" s="1266"/>
      <c r="AE24" s="1266"/>
      <c r="AF24" s="1266"/>
      <c r="AG24" s="1266"/>
      <c r="AH24" s="1266"/>
      <c r="AI24" s="1266"/>
      <c r="AJ24" s="1266"/>
      <c r="AK24" s="1266"/>
      <c r="AL24" s="1266"/>
      <c r="AM24" s="1266"/>
      <c r="AN24" s="1266"/>
      <c r="AO24" s="1266"/>
      <c r="AP24" s="1266"/>
      <c r="AQ24" s="1266"/>
      <c r="AR24" s="1467">
        <v>0</v>
      </c>
    </row>
    <row s="1853" customFormat="1" customHeight="1" ht="17.25" hidden="1">
      <c r="A25" s="321"/>
      <c r="C25" s="320"/>
      <c r="D25" s="2136"/>
      <c r="E25" s="2144"/>
      <c r="F25" s="2146"/>
      <c r="G25" s="2144"/>
      <c r="H25" s="2149"/>
      <c r="I25" s="2151"/>
      <c r="J25" s="2154"/>
      <c r="K25" s="2138"/>
      <c r="L25" s="2138"/>
      <c r="M25" s="2138"/>
      <c r="N25" s="2141"/>
      <c r="O25" s="2138"/>
      <c r="P25" s="1999"/>
      <c r="Q25" s="2003"/>
      <c r="R25" s="2003"/>
      <c r="S25" s="329"/>
      <c r="T25" s="329"/>
      <c r="U25" s="329"/>
      <c r="V25" s="329"/>
      <c r="W25" s="2004"/>
      <c r="X25" s="1266"/>
      <c r="Y25" s="1266"/>
      <c r="Z25" s="1266"/>
      <c r="AA25" s="1266"/>
      <c r="AB25" s="1266"/>
      <c r="AC25" s="1266"/>
      <c r="AD25" s="1266"/>
      <c r="AE25" s="1266"/>
      <c r="AF25" s="1266"/>
      <c r="AG25" s="1266"/>
      <c r="AH25" s="1266"/>
      <c r="AI25" s="1266"/>
      <c r="AJ25" s="1266"/>
      <c r="AK25" s="1266"/>
      <c r="AL25" s="1266"/>
      <c r="AM25" s="1266"/>
      <c r="AN25" s="1266"/>
      <c r="AO25" s="1266"/>
      <c r="AP25" s="1266"/>
      <c r="AQ25" s="1266"/>
      <c r="AR25" s="1467">
        <v>0</v>
      </c>
    </row>
    <row s="1853" customFormat="1" customHeight="1" ht="17.25" hidden="1">
      <c r="A26" s="321"/>
      <c r="C26" s="320"/>
      <c r="D26" s="2136"/>
      <c r="E26" s="2144"/>
      <c r="F26" s="2146"/>
      <c r="G26" s="2144"/>
      <c r="H26" s="2149"/>
      <c r="I26" s="2151"/>
      <c r="J26" s="2154"/>
      <c r="K26" s="2138"/>
      <c r="L26" s="2003"/>
      <c r="M26" s="2003"/>
      <c r="N26" s="2003"/>
      <c r="O26" s="2003"/>
      <c r="P26" s="2003"/>
      <c r="Q26" s="2003"/>
      <c r="R26" s="2003"/>
      <c r="S26" s="329"/>
      <c r="T26" s="329"/>
      <c r="U26" s="329"/>
      <c r="V26" s="329"/>
      <c r="W26" s="2004"/>
      <c r="X26" s="1266"/>
      <c r="Y26" s="1266"/>
      <c r="Z26" s="1266"/>
      <c r="AA26" s="1266"/>
      <c r="AB26" s="1266"/>
      <c r="AC26" s="1266"/>
      <c r="AD26" s="1266"/>
      <c r="AE26" s="1266"/>
      <c r="AF26" s="1266"/>
      <c r="AG26" s="1266"/>
      <c r="AH26" s="1266"/>
      <c r="AI26" s="1266"/>
      <c r="AJ26" s="1266"/>
      <c r="AK26" s="1266"/>
      <c r="AL26" s="1266"/>
      <c r="AM26" s="1266"/>
      <c r="AN26" s="1266"/>
      <c r="AO26" s="1266"/>
      <c r="AP26" s="1266"/>
      <c r="AQ26" s="1266"/>
      <c r="AR26" s="1467">
        <v>0</v>
      </c>
    </row>
    <row s="1853" customFormat="1" customHeight="1" ht="17.25" hidden="1">
      <c r="A27" s="321"/>
      <c r="C27" s="320"/>
      <c r="D27" s="2136"/>
      <c r="E27" s="2144"/>
      <c r="F27" s="2147"/>
      <c r="G27" s="2144"/>
      <c r="H27" s="1299"/>
      <c r="I27" s="2001"/>
      <c r="J27" s="2001"/>
      <c r="K27" s="2001"/>
      <c r="L27" s="2001"/>
      <c r="M27" s="2001"/>
      <c r="N27" s="2001"/>
      <c r="O27" s="2001"/>
      <c r="P27" s="2001"/>
      <c r="Q27" s="2001"/>
      <c r="R27" s="2001"/>
      <c r="S27" s="1301"/>
      <c r="T27" s="1301"/>
      <c r="U27" s="1301"/>
      <c r="V27" s="1301"/>
      <c r="W27" s="2002"/>
      <c r="X27" s="1266"/>
      <c r="Y27" s="1266"/>
      <c r="Z27" s="1266"/>
      <c r="AA27" s="1266"/>
      <c r="AB27" s="1266"/>
      <c r="AC27" s="1266"/>
      <c r="AD27" s="1266"/>
      <c r="AE27" s="1266"/>
      <c r="AF27" s="1266"/>
      <c r="AG27" s="1266"/>
      <c r="AH27" s="1266"/>
      <c r="AI27" s="1266"/>
      <c r="AJ27" s="1266"/>
      <c r="AK27" s="1266"/>
      <c r="AL27" s="1266"/>
      <c r="AM27" s="1266"/>
      <c r="AN27" s="1266"/>
      <c r="AO27" s="1266"/>
      <c r="AP27" s="1266"/>
      <c r="AQ27" s="1266"/>
      <c r="AR27" s="1467">
        <v>0</v>
      </c>
    </row>
    <row s="1853" customFormat="1" customHeight="1" ht="17.25" hidden="1">
      <c r="A28" s="321"/>
      <c r="C28" s="209"/>
      <c r="D28" s="2135">
        <v>3</v>
      </c>
      <c r="E28" s="2143" t="s">
        <v>170</v>
      </c>
      <c r="F28" s="2145" t="s">
        <v>19</v>
      </c>
      <c r="G28" s="2143"/>
      <c r="H28" s="2148"/>
      <c r="I28" s="2150"/>
      <c r="J28" s="2152"/>
      <c r="K28" s="2137"/>
      <c r="L28" s="2137"/>
      <c r="M28" s="2137"/>
      <c r="N28" s="2139"/>
      <c r="O28" s="2137"/>
      <c r="P28" s="2137"/>
      <c r="Q28" s="2137"/>
      <c r="R28" s="2142"/>
      <c r="S28" s="2137"/>
      <c r="T28" s="1420"/>
      <c r="U28" s="1420"/>
      <c r="V28" s="1419"/>
      <c r="W28" s="1296"/>
      <c r="X28" s="1267"/>
      <c r="Y28" s="1267"/>
      <c r="Z28" s="1267"/>
      <c r="AA28" s="1267"/>
      <c r="AB28" s="1267"/>
      <c r="AC28" s="1267" t="s">
        <v>171</v>
      </c>
      <c r="AD28" s="1267" t="s">
        <v>172</v>
      </c>
      <c r="AE28" s="1267" t="s">
        <v>173</v>
      </c>
      <c r="AF28" s="1267" t="s">
        <v>174</v>
      </c>
      <c r="AG28" s="1267" t="s">
        <v>175</v>
      </c>
      <c r="AH28" s="1267" t="str">
        <f>IF($E$28=0,"",$E$28)</f>
        <v>Тарифы на теплоноситель, поставляемый теплоснабжающими организациями потребителям, другим теплоснабжающим организациям</v>
      </c>
      <c r="AI28" s="1267" t="str">
        <f>IF($G$28=0,"",$G$28)</f>
        <v/>
      </c>
      <c r="AJ28" s="1267" t="str">
        <f>IF($J$28=0,"",$J$28)</f>
        <v/>
      </c>
      <c r="AK28" s="1267" t="str">
        <f>IF($K$28="нет","без дифференциации",IF($N$28=0,"",$N$28))</f>
        <v/>
      </c>
      <c r="AL28" s="1267" t="str">
        <f>IF($O$28="нет","без дифференциации",IF($R$28=0,"",$R$28))</f>
        <v/>
      </c>
      <c r="AM28" s="1267" t="str">
        <f>IF($S$28="нет","без дифференциации",IF($V$28=0,"",$V$28))</f>
        <v/>
      </c>
      <c r="AN28" s="1772">
        <f>$I$28</f>
        <v>0</v>
      </c>
      <c r="AO28" s="1267" t="str">
        <f>$I$28&amp;"."&amp;$M$28</f>
        <v>.</v>
      </c>
      <c r="AP28" s="1259" t="str">
        <f>$I$28&amp;"."&amp;$M$28&amp;"."&amp;$Q$28</f>
        <v>..</v>
      </c>
      <c r="AQ28" s="1259" t="str">
        <f>$I$28&amp;"."&amp;$M$28&amp;"."&amp;$Q$28&amp;"."&amp;$U$28</f>
        <v>...</v>
      </c>
      <c r="AR28" s="1283">
        <v>0</v>
      </c>
    </row>
    <row s="1853" customFormat="1" customHeight="1" ht="17.25" hidden="1">
      <c r="A29" s="321"/>
      <c r="C29" s="320"/>
      <c r="D29" s="2135"/>
      <c r="E29" s="2143"/>
      <c r="F29" s="2146"/>
      <c r="G29" s="2143"/>
      <c r="H29" s="2149"/>
      <c r="I29" s="2151"/>
      <c r="J29" s="2153"/>
      <c r="K29" s="2138"/>
      <c r="L29" s="2138"/>
      <c r="M29" s="2138"/>
      <c r="N29" s="2140"/>
      <c r="O29" s="2138"/>
      <c r="P29" s="2138"/>
      <c r="Q29" s="2138"/>
      <c r="R29" s="2141"/>
      <c r="S29" s="2138"/>
      <c r="T29" s="1297"/>
      <c r="U29" s="1297"/>
      <c r="V29" s="1297"/>
      <c r="W29" s="1298"/>
      <c r="X29" s="1259"/>
      <c r="Y29" s="1259"/>
      <c r="Z29" s="1259"/>
      <c r="AA29" s="1259"/>
      <c r="AB29" s="1259"/>
      <c r="AC29" s="1259"/>
      <c r="AD29" s="1259"/>
      <c r="AE29" s="1259"/>
      <c r="AF29" s="1259"/>
      <c r="AG29" s="1259"/>
      <c r="AH29" s="1259"/>
      <c r="AI29" s="1259"/>
      <c r="AJ29" s="1259"/>
      <c r="AK29" s="1259"/>
      <c r="AL29" s="1259"/>
      <c r="AM29" s="1259"/>
      <c r="AN29" s="1259"/>
      <c r="AO29" s="1259"/>
      <c r="AP29" s="1259"/>
      <c r="AQ29" s="1259"/>
      <c r="AR29" s="1283">
        <v>0</v>
      </c>
    </row>
    <row s="1853" customFormat="1" customHeight="1" ht="17.25" hidden="1">
      <c r="A30" s="321"/>
      <c r="C30" s="320"/>
      <c r="D30" s="2136"/>
      <c r="E30" s="2144"/>
      <c r="F30" s="2146"/>
      <c r="G30" s="2144"/>
      <c r="H30" s="2149"/>
      <c r="I30" s="2151"/>
      <c r="J30" s="2154"/>
      <c r="K30" s="2138"/>
      <c r="L30" s="2138"/>
      <c r="M30" s="2138"/>
      <c r="N30" s="2141"/>
      <c r="O30" s="2138"/>
      <c r="P30" s="1418"/>
      <c r="Q30" s="1297"/>
      <c r="R30" s="1297"/>
      <c r="S30" s="329"/>
      <c r="T30" s="329"/>
      <c r="U30" s="329"/>
      <c r="V30" s="329"/>
      <c r="W30" s="1298"/>
      <c r="X30" s="1259"/>
      <c r="Y30" s="1259"/>
      <c r="Z30" s="1259"/>
      <c r="AA30" s="1259"/>
      <c r="AB30" s="1259"/>
      <c r="AC30" s="1259"/>
      <c r="AD30" s="1259"/>
      <c r="AE30" s="1259"/>
      <c r="AF30" s="1259"/>
      <c r="AG30" s="1259"/>
      <c r="AH30" s="1259"/>
      <c r="AI30" s="1259"/>
      <c r="AJ30" s="1259"/>
      <c r="AK30" s="1259"/>
      <c r="AL30" s="1259"/>
      <c r="AM30" s="1259"/>
      <c r="AN30" s="1259"/>
      <c r="AO30" s="1259"/>
      <c r="AP30" s="1259"/>
      <c r="AQ30" s="1259"/>
      <c r="AR30" s="1283">
        <v>0</v>
      </c>
    </row>
    <row s="1853" customFormat="1" customHeight="1" ht="17.25" hidden="1">
      <c r="A31" s="321"/>
      <c r="C31" s="320"/>
      <c r="D31" s="2136"/>
      <c r="E31" s="2144"/>
      <c r="F31" s="2146"/>
      <c r="G31" s="2144"/>
      <c r="H31" s="2149"/>
      <c r="I31" s="2151"/>
      <c r="J31" s="2154"/>
      <c r="K31" s="2138"/>
      <c r="L31" s="1297"/>
      <c r="M31" s="1297"/>
      <c r="N31" s="1297"/>
      <c r="O31" s="1297"/>
      <c r="P31" s="1297"/>
      <c r="Q31" s="1297"/>
      <c r="R31" s="1297"/>
      <c r="S31" s="329"/>
      <c r="T31" s="329"/>
      <c r="U31" s="329"/>
      <c r="V31" s="329"/>
      <c r="W31" s="1298"/>
      <c r="X31" s="1259"/>
      <c r="Y31" s="1259"/>
      <c r="Z31" s="1259"/>
      <c r="AA31" s="1259"/>
      <c r="AB31" s="1259"/>
      <c r="AC31" s="1259"/>
      <c r="AD31" s="1259"/>
      <c r="AE31" s="1259"/>
      <c r="AF31" s="1259"/>
      <c r="AG31" s="1259"/>
      <c r="AH31" s="1259"/>
      <c r="AI31" s="1259"/>
      <c r="AJ31" s="1259"/>
      <c r="AK31" s="1259"/>
      <c r="AL31" s="1259"/>
      <c r="AM31" s="1259"/>
      <c r="AN31" s="1259"/>
      <c r="AO31" s="1259"/>
      <c r="AP31" s="1259"/>
      <c r="AQ31" s="1259"/>
      <c r="AR31" s="1283">
        <v>0</v>
      </c>
    </row>
    <row s="1853" customFormat="1" customHeight="1" ht="17.25" hidden="1">
      <c r="A32" s="321"/>
      <c r="C32" s="320"/>
      <c r="D32" s="2136"/>
      <c r="E32" s="2144"/>
      <c r="F32" s="2147"/>
      <c r="G32" s="2144"/>
      <c r="H32" s="1299"/>
      <c r="I32" s="1300"/>
      <c r="J32" s="1300"/>
      <c r="K32" s="1300"/>
      <c r="L32" s="1300"/>
      <c r="M32" s="1300"/>
      <c r="N32" s="1300"/>
      <c r="O32" s="1300"/>
      <c r="P32" s="1300"/>
      <c r="Q32" s="1300"/>
      <c r="R32" s="1300"/>
      <c r="S32" s="1301"/>
      <c r="T32" s="1301"/>
      <c r="U32" s="1301"/>
      <c r="V32" s="1301"/>
      <c r="W32" s="1302"/>
      <c r="X32" s="1259"/>
      <c r="Y32" s="1259"/>
      <c r="Z32" s="1259"/>
      <c r="AA32" s="1259"/>
      <c r="AB32" s="1259"/>
      <c r="AC32" s="1259"/>
      <c r="AD32" s="1259"/>
      <c r="AE32" s="1259"/>
      <c r="AF32" s="1259"/>
      <c r="AG32" s="1259"/>
      <c r="AH32" s="1259"/>
      <c r="AI32" s="1259"/>
      <c r="AJ32" s="1259"/>
      <c r="AK32" s="1259"/>
      <c r="AL32" s="1259"/>
      <c r="AM32" s="1259"/>
      <c r="AN32" s="1259"/>
      <c r="AO32" s="1259"/>
      <c r="AP32" s="1259"/>
      <c r="AQ32" s="1259"/>
      <c r="AR32" s="1283">
        <v>0</v>
      </c>
    </row>
    <row s="1853" customFormat="1" customHeight="1" ht="17.25" hidden="1">
      <c r="A33" s="321"/>
      <c r="C33" s="209"/>
      <c r="D33" s="2135">
        <v>4</v>
      </c>
      <c r="E33" s="2143" t="s">
        <v>176</v>
      </c>
      <c r="F33" s="2145" t="s">
        <v>19</v>
      </c>
      <c r="G33" s="2143"/>
      <c r="H33" s="2148"/>
      <c r="I33" s="2150"/>
      <c r="J33" s="2152"/>
      <c r="K33" s="2137"/>
      <c r="L33" s="2137"/>
      <c r="M33" s="2137"/>
      <c r="N33" s="2139"/>
      <c r="O33" s="2137"/>
      <c r="P33" s="2137"/>
      <c r="Q33" s="2137"/>
      <c r="R33" s="2142"/>
      <c r="S33" s="2137"/>
      <c r="T33" s="1420"/>
      <c r="U33" s="1420"/>
      <c r="V33" s="1419"/>
      <c r="W33" s="1296"/>
      <c r="X33" s="1267"/>
      <c r="Y33" s="1267"/>
      <c r="Z33" s="1267"/>
      <c r="AA33" s="1267"/>
      <c r="AB33" s="1267"/>
      <c r="AC33" s="1267" t="s">
        <v>177</v>
      </c>
      <c r="AD33" s="1267" t="s">
        <v>178</v>
      </c>
      <c r="AE33" s="1267" t="s">
        <v>179</v>
      </c>
      <c r="AF33" s="1267" t="s">
        <v>180</v>
      </c>
      <c r="AG33" s="1267" t="s">
        <v>181</v>
      </c>
      <c r="AH33" s="1267" t="str">
        <f>IF($E$33=0,"",$E$33)</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AI33" s="1267" t="str">
        <f>IF($G$33=0,"",$G$33)</f>
        <v/>
      </c>
      <c r="AJ33" s="1267" t="str">
        <f>IF($J$33=0,"",$J$33)</f>
        <v/>
      </c>
      <c r="AK33" s="1267" t="str">
        <f>IF($K$33="нет","без дифференциации",IF($N$33=0,"",$N$33))</f>
        <v/>
      </c>
      <c r="AL33" s="1267" t="str">
        <f>IF($O$33="нет","без дифференциации",IF($R$33=0,"",$R$33))</f>
        <v/>
      </c>
      <c r="AM33" s="1267" t="str">
        <f>IF($S$33="нет","без дифференциации",IF($V$33=0,"",$V$33))</f>
        <v/>
      </c>
      <c r="AN33" s="1772">
        <f>$I$33</f>
        <v>0</v>
      </c>
      <c r="AO33" s="1267" t="str">
        <f>$I$33&amp;"."&amp;$M$33</f>
        <v>.</v>
      </c>
      <c r="AP33" s="1259" t="str">
        <f>$I$33&amp;"."&amp;$M$33&amp;"."&amp;$Q$33</f>
        <v>..</v>
      </c>
      <c r="AQ33" s="1259" t="str">
        <f>$I$33&amp;"."&amp;$M$33&amp;"."&amp;$Q$33&amp;"."&amp;$U$33</f>
        <v>...</v>
      </c>
      <c r="AR33" s="1283">
        <v>0</v>
      </c>
    </row>
    <row s="1853" customFormat="1" customHeight="1" ht="17.25" hidden="1">
      <c r="A34" s="321"/>
      <c r="C34" s="320"/>
      <c r="D34" s="2135"/>
      <c r="E34" s="2143"/>
      <c r="F34" s="2146"/>
      <c r="G34" s="2143"/>
      <c r="H34" s="2149"/>
      <c r="I34" s="2151"/>
      <c r="J34" s="2153"/>
      <c r="K34" s="2138"/>
      <c r="L34" s="2138"/>
      <c r="M34" s="2138"/>
      <c r="N34" s="2140"/>
      <c r="O34" s="2138"/>
      <c r="P34" s="2138"/>
      <c r="Q34" s="2138"/>
      <c r="R34" s="2141"/>
      <c r="S34" s="2138"/>
      <c r="T34" s="1297"/>
      <c r="U34" s="1297"/>
      <c r="V34" s="1297"/>
      <c r="W34" s="1298"/>
      <c r="X34" s="1259"/>
      <c r="Y34" s="1259"/>
      <c r="Z34" s="1259"/>
      <c r="AA34" s="1259"/>
      <c r="AB34" s="1259"/>
      <c r="AC34" s="1259"/>
      <c r="AD34" s="1259"/>
      <c r="AE34" s="1259"/>
      <c r="AF34" s="1259"/>
      <c r="AG34" s="1259"/>
      <c r="AH34" s="1259"/>
      <c r="AI34" s="1259"/>
      <c r="AJ34" s="1259"/>
      <c r="AK34" s="1259"/>
      <c r="AL34" s="1259"/>
      <c r="AM34" s="1259"/>
      <c r="AN34" s="1259"/>
      <c r="AO34" s="1259"/>
      <c r="AP34" s="1259"/>
      <c r="AQ34" s="1259"/>
      <c r="AR34" s="1283">
        <v>0</v>
      </c>
    </row>
    <row s="1853" customFormat="1" customHeight="1" ht="17.25" hidden="1">
      <c r="A35" s="321"/>
      <c r="C35" s="320"/>
      <c r="D35" s="2136"/>
      <c r="E35" s="2144"/>
      <c r="F35" s="2146"/>
      <c r="G35" s="2144"/>
      <c r="H35" s="2149"/>
      <c r="I35" s="2151"/>
      <c r="J35" s="2154"/>
      <c r="K35" s="2138"/>
      <c r="L35" s="2138"/>
      <c r="M35" s="2138"/>
      <c r="N35" s="2141"/>
      <c r="O35" s="2138"/>
      <c r="P35" s="1418"/>
      <c r="Q35" s="1297"/>
      <c r="R35" s="1297"/>
      <c r="S35" s="329"/>
      <c r="T35" s="329"/>
      <c r="U35" s="329"/>
      <c r="V35" s="329"/>
      <c r="W35" s="1298"/>
      <c r="X35" s="1259"/>
      <c r="Y35" s="1259"/>
      <c r="Z35" s="1259"/>
      <c r="AA35" s="1259"/>
      <c r="AB35" s="1259"/>
      <c r="AC35" s="1259"/>
      <c r="AD35" s="1259"/>
      <c r="AE35" s="1259"/>
      <c r="AF35" s="1259"/>
      <c r="AG35" s="1259"/>
      <c r="AH35" s="1259"/>
      <c r="AI35" s="1259"/>
      <c r="AJ35" s="1259"/>
      <c r="AK35" s="1259"/>
      <c r="AL35" s="1259"/>
      <c r="AM35" s="1259"/>
      <c r="AN35" s="1259"/>
      <c r="AO35" s="1259"/>
      <c r="AP35" s="1259"/>
      <c r="AQ35" s="1259"/>
      <c r="AR35" s="1283">
        <v>0</v>
      </c>
    </row>
    <row s="1853" customFormat="1" customHeight="1" ht="17.25" hidden="1">
      <c r="A36" s="321"/>
      <c r="C36" s="320"/>
      <c r="D36" s="2136"/>
      <c r="E36" s="2144"/>
      <c r="F36" s="2146"/>
      <c r="G36" s="2144"/>
      <c r="H36" s="2149"/>
      <c r="I36" s="2151"/>
      <c r="J36" s="2154"/>
      <c r="K36" s="2138"/>
      <c r="L36" s="1297"/>
      <c r="M36" s="1297"/>
      <c r="N36" s="1297"/>
      <c r="O36" s="1297"/>
      <c r="P36" s="1297"/>
      <c r="Q36" s="1297"/>
      <c r="R36" s="1297"/>
      <c r="S36" s="329"/>
      <c r="T36" s="329"/>
      <c r="U36" s="329"/>
      <c r="V36" s="329"/>
      <c r="W36" s="1298"/>
      <c r="X36" s="1259"/>
      <c r="Y36" s="1259"/>
      <c r="Z36" s="1259"/>
      <c r="AA36" s="1259"/>
      <c r="AB36" s="1259"/>
      <c r="AC36" s="1259"/>
      <c r="AD36" s="1259"/>
      <c r="AE36" s="1259"/>
      <c r="AF36" s="1259"/>
      <c r="AG36" s="1259"/>
      <c r="AH36" s="1259"/>
      <c r="AI36" s="1259"/>
      <c r="AJ36" s="1259"/>
      <c r="AK36" s="1259"/>
      <c r="AL36" s="1259"/>
      <c r="AM36" s="1259"/>
      <c r="AN36" s="1259"/>
      <c r="AO36" s="1259"/>
      <c r="AP36" s="1259"/>
      <c r="AQ36" s="1259"/>
      <c r="AR36" s="1283">
        <v>0</v>
      </c>
    </row>
    <row s="1853" customFormat="1" customHeight="1" ht="17.25" hidden="1">
      <c r="A37" s="321"/>
      <c r="C37" s="320"/>
      <c r="D37" s="2136"/>
      <c r="E37" s="2144"/>
      <c r="F37" s="2147"/>
      <c r="G37" s="2144"/>
      <c r="H37" s="1299"/>
      <c r="I37" s="1300"/>
      <c r="J37" s="1300"/>
      <c r="K37" s="1300"/>
      <c r="L37" s="1300"/>
      <c r="M37" s="1300"/>
      <c r="N37" s="1300"/>
      <c r="O37" s="1300"/>
      <c r="P37" s="1300"/>
      <c r="Q37" s="1300"/>
      <c r="R37" s="1300"/>
      <c r="S37" s="1301"/>
      <c r="T37" s="1301"/>
      <c r="U37" s="1301"/>
      <c r="V37" s="1301"/>
      <c r="W37" s="1302"/>
      <c r="X37" s="1259"/>
      <c r="Y37" s="1259"/>
      <c r="Z37" s="1259"/>
      <c r="AA37" s="1259"/>
      <c r="AB37" s="1259"/>
      <c r="AC37" s="1259"/>
      <c r="AD37" s="1259"/>
      <c r="AE37" s="1259"/>
      <c r="AF37" s="1259"/>
      <c r="AG37" s="1259"/>
      <c r="AH37" s="1259"/>
      <c r="AI37" s="1259"/>
      <c r="AJ37" s="1259"/>
      <c r="AK37" s="1259"/>
      <c r="AL37" s="1259"/>
      <c r="AM37" s="1259"/>
      <c r="AN37" s="1259"/>
      <c r="AO37" s="1259"/>
      <c r="AP37" s="1259"/>
      <c r="AQ37" s="1259"/>
      <c r="AR37" s="1283">
        <v>0</v>
      </c>
    </row>
    <row s="1853" customFormat="1" customHeight="1" ht="17.25" hidden="1">
      <c r="A38" s="321"/>
      <c r="C38" s="209"/>
      <c r="D38" s="2135">
        <v>5</v>
      </c>
      <c r="E38" s="2143" t="s">
        <v>182</v>
      </c>
      <c r="F38" s="2145" t="s">
        <v>19</v>
      </c>
      <c r="G38" s="2143"/>
      <c r="H38" s="2148"/>
      <c r="I38" s="2150"/>
      <c r="J38" s="2152"/>
      <c r="K38" s="2137"/>
      <c r="L38" s="2137"/>
      <c r="M38" s="2137"/>
      <c r="N38" s="2139"/>
      <c r="O38" s="2137"/>
      <c r="P38" s="2137"/>
      <c r="Q38" s="2137"/>
      <c r="R38" s="2142"/>
      <c r="S38" s="2137"/>
      <c r="T38" s="1420"/>
      <c r="U38" s="1420"/>
      <c r="V38" s="1419"/>
      <c r="W38" s="1296"/>
      <c r="X38" s="1267"/>
      <c r="Y38" s="1267"/>
      <c r="Z38" s="1267"/>
      <c r="AA38" s="1267"/>
      <c r="AB38" s="1267"/>
      <c r="AC38" s="1267" t="s">
        <v>183</v>
      </c>
      <c r="AD38" s="1267" t="s">
        <v>184</v>
      </c>
      <c r="AE38" s="1267" t="s">
        <v>185</v>
      </c>
      <c r="AF38" s="1267" t="s">
        <v>186</v>
      </c>
      <c r="AG38" s="1267" t="s">
        <v>187</v>
      </c>
      <c r="AH38" s="1267" t="str">
        <f>IF($E$38=0,"",$E$38)</f>
        <v>Тарифы на услуги по передаче тепловой энергии</v>
      </c>
      <c r="AI38" s="1267" t="str">
        <f>IF($G$38=0,"",$G$38)</f>
        <v/>
      </c>
      <c r="AJ38" s="1267" t="str">
        <f>IF($J$38=0,"",$J$38)</f>
        <v/>
      </c>
      <c r="AK38" s="1267" t="str">
        <f>IF($K$38="нет","без дифференциации",IF($N$38=0,"",$N$38))</f>
        <v/>
      </c>
      <c r="AL38" s="1267" t="str">
        <f>IF($O$38="нет","без дифференциации",IF($R$38=0,"",$R$38))</f>
        <v/>
      </c>
      <c r="AM38" s="1267" t="str">
        <f>IF($S$38="нет","без дифференциации",IF($V$38=0,"",$V$38))</f>
        <v/>
      </c>
      <c r="AN38" s="1772">
        <f>$I$38</f>
        <v>0</v>
      </c>
      <c r="AO38" s="1267" t="str">
        <f>$I$38&amp;"."&amp;$M$38</f>
        <v>.</v>
      </c>
      <c r="AP38" s="1259" t="str">
        <f>$I$38&amp;"."&amp;$M$38&amp;"."&amp;$Q$38</f>
        <v>..</v>
      </c>
      <c r="AQ38" s="1259" t="str">
        <f>$I$38&amp;"."&amp;$M$38&amp;"."&amp;$Q$38&amp;"."&amp;$U$38</f>
        <v>...</v>
      </c>
      <c r="AR38" s="1283">
        <v>0</v>
      </c>
    </row>
    <row s="1853" customFormat="1" customHeight="1" ht="17.25" hidden="1">
      <c r="A39" s="321"/>
      <c r="C39" s="320"/>
      <c r="D39" s="2135"/>
      <c r="E39" s="2143"/>
      <c r="F39" s="2146"/>
      <c r="G39" s="2143"/>
      <c r="H39" s="2149"/>
      <c r="I39" s="2151"/>
      <c r="J39" s="2153"/>
      <c r="K39" s="2138"/>
      <c r="L39" s="2138"/>
      <c r="M39" s="2138"/>
      <c r="N39" s="2140"/>
      <c r="O39" s="2138"/>
      <c r="P39" s="2138"/>
      <c r="Q39" s="2138"/>
      <c r="R39" s="2141"/>
      <c r="S39" s="2138"/>
      <c r="T39" s="1297"/>
      <c r="U39" s="1297"/>
      <c r="V39" s="1297"/>
      <c r="W39" s="1298"/>
      <c r="X39" s="1259"/>
      <c r="Y39" s="1259"/>
      <c r="Z39" s="1259"/>
      <c r="AA39" s="1259"/>
      <c r="AB39" s="1259"/>
      <c r="AC39" s="1259"/>
      <c r="AD39" s="1259"/>
      <c r="AE39" s="1259"/>
      <c r="AF39" s="1259"/>
      <c r="AG39" s="1259"/>
      <c r="AH39" s="1259"/>
      <c r="AI39" s="1259"/>
      <c r="AJ39" s="1259"/>
      <c r="AK39" s="1259"/>
      <c r="AL39" s="1259"/>
      <c r="AM39" s="1259"/>
      <c r="AN39" s="1259"/>
      <c r="AO39" s="1259"/>
      <c r="AP39" s="1259"/>
      <c r="AQ39" s="1259"/>
      <c r="AR39" s="1283">
        <v>0</v>
      </c>
    </row>
    <row s="1853" customFormat="1" customHeight="1" ht="17.25" hidden="1">
      <c r="A40" s="321"/>
      <c r="C40" s="320"/>
      <c r="D40" s="2136"/>
      <c r="E40" s="2144"/>
      <c r="F40" s="2146"/>
      <c r="G40" s="2144"/>
      <c r="H40" s="2149"/>
      <c r="I40" s="2151"/>
      <c r="J40" s="2154"/>
      <c r="K40" s="2138"/>
      <c r="L40" s="2138"/>
      <c r="M40" s="2138"/>
      <c r="N40" s="2141"/>
      <c r="O40" s="2138"/>
      <c r="P40" s="1418"/>
      <c r="Q40" s="1297"/>
      <c r="R40" s="1297"/>
      <c r="S40" s="329"/>
      <c r="T40" s="329"/>
      <c r="U40" s="329"/>
      <c r="V40" s="329"/>
      <c r="W40" s="1298"/>
      <c r="X40" s="1259"/>
      <c r="Y40" s="1259"/>
      <c r="Z40" s="1259"/>
      <c r="AA40" s="1259"/>
      <c r="AB40" s="1259"/>
      <c r="AC40" s="1259"/>
      <c r="AD40" s="1259"/>
      <c r="AE40" s="1259"/>
      <c r="AF40" s="1259"/>
      <c r="AG40" s="1259"/>
      <c r="AH40" s="1259"/>
      <c r="AI40" s="1259"/>
      <c r="AJ40" s="1259"/>
      <c r="AK40" s="1259"/>
      <c r="AL40" s="1259"/>
      <c r="AM40" s="1259"/>
      <c r="AN40" s="1259"/>
      <c r="AO40" s="1259"/>
      <c r="AP40" s="1259"/>
      <c r="AQ40" s="1259"/>
      <c r="AR40" s="1283">
        <v>0</v>
      </c>
    </row>
    <row s="1853" customFormat="1" customHeight="1" ht="17.25" hidden="1">
      <c r="A41" s="321"/>
      <c r="C41" s="320"/>
      <c r="D41" s="2136"/>
      <c r="E41" s="2144"/>
      <c r="F41" s="2146"/>
      <c r="G41" s="2144"/>
      <c r="H41" s="2149"/>
      <c r="I41" s="2151"/>
      <c r="J41" s="2154"/>
      <c r="K41" s="2138"/>
      <c r="L41" s="1297"/>
      <c r="M41" s="1297"/>
      <c r="N41" s="1297"/>
      <c r="O41" s="1297"/>
      <c r="P41" s="1297"/>
      <c r="Q41" s="1297"/>
      <c r="R41" s="1297"/>
      <c r="S41" s="329"/>
      <c r="T41" s="329"/>
      <c r="U41" s="329"/>
      <c r="V41" s="329"/>
      <c r="W41" s="1298"/>
      <c r="X41" s="1259"/>
      <c r="Y41" s="1259"/>
      <c r="Z41" s="1259"/>
      <c r="AA41" s="1259"/>
      <c r="AB41" s="1259"/>
      <c r="AC41" s="1259"/>
      <c r="AD41" s="1259"/>
      <c r="AE41" s="1259"/>
      <c r="AF41" s="1259"/>
      <c r="AG41" s="1259"/>
      <c r="AH41" s="1259"/>
      <c r="AI41" s="1259"/>
      <c r="AJ41" s="1259"/>
      <c r="AK41" s="1259"/>
      <c r="AL41" s="1259"/>
      <c r="AM41" s="1259"/>
      <c r="AN41" s="1259"/>
      <c r="AO41" s="1259"/>
      <c r="AP41" s="1259"/>
      <c r="AQ41" s="1259"/>
      <c r="AR41" s="1283">
        <v>0</v>
      </c>
    </row>
    <row s="1853" customFormat="1" customHeight="1" ht="17.25" hidden="1">
      <c r="A42" s="321"/>
      <c r="C42" s="320"/>
      <c r="D42" s="2136"/>
      <c r="E42" s="2144"/>
      <c r="F42" s="2147"/>
      <c r="G42" s="2144"/>
      <c r="H42" s="1299"/>
      <c r="I42" s="1300"/>
      <c r="J42" s="1300"/>
      <c r="K42" s="1300"/>
      <c r="L42" s="1300"/>
      <c r="M42" s="1300"/>
      <c r="N42" s="1300"/>
      <c r="O42" s="1300"/>
      <c r="P42" s="1300"/>
      <c r="Q42" s="1300"/>
      <c r="R42" s="1300"/>
      <c r="S42" s="1301"/>
      <c r="T42" s="1301"/>
      <c r="U42" s="1301"/>
      <c r="V42" s="1301"/>
      <c r="W42" s="1302"/>
      <c r="X42" s="1259"/>
      <c r="Y42" s="1259"/>
      <c r="Z42" s="1259"/>
      <c r="AA42" s="1259"/>
      <c r="AB42" s="1259"/>
      <c r="AC42" s="1259"/>
      <c r="AD42" s="1259"/>
      <c r="AE42" s="1259"/>
      <c r="AF42" s="1259"/>
      <c r="AG42" s="1259"/>
      <c r="AH42" s="1259"/>
      <c r="AI42" s="1259"/>
      <c r="AJ42" s="1259"/>
      <c r="AK42" s="1259"/>
      <c r="AL42" s="1259"/>
      <c r="AM42" s="1259"/>
      <c r="AN42" s="1259"/>
      <c r="AO42" s="1259"/>
      <c r="AP42" s="1259"/>
      <c r="AQ42" s="1259"/>
      <c r="AR42" s="1283">
        <v>0</v>
      </c>
    </row>
    <row s="1853" customFormat="1" customHeight="1" ht="17.25" hidden="1">
      <c r="A43" s="321"/>
      <c r="C43" s="209"/>
      <c r="D43" s="2135">
        <v>6</v>
      </c>
      <c r="E43" s="2143" t="s">
        <v>188</v>
      </c>
      <c r="F43" s="2145" t="s">
        <v>19</v>
      </c>
      <c r="G43" s="2143"/>
      <c r="H43" s="2148"/>
      <c r="I43" s="2150"/>
      <c r="J43" s="2152"/>
      <c r="K43" s="2137"/>
      <c r="L43" s="2137"/>
      <c r="M43" s="2137"/>
      <c r="N43" s="2139"/>
      <c r="O43" s="2137"/>
      <c r="P43" s="2137"/>
      <c r="Q43" s="2137"/>
      <c r="R43" s="2142"/>
      <c r="S43" s="2137"/>
      <c r="T43" s="1420"/>
      <c r="U43" s="1420"/>
      <c r="V43" s="1419"/>
      <c r="W43" s="1296"/>
      <c r="X43" s="1267"/>
      <c r="Y43" s="1267"/>
      <c r="Z43" s="1267"/>
      <c r="AA43" s="1267"/>
      <c r="AB43" s="1267"/>
      <c r="AC43" s="1267" t="s">
        <v>189</v>
      </c>
      <c r="AD43" s="1267" t="s">
        <v>190</v>
      </c>
      <c r="AE43" s="1267" t="s">
        <v>191</v>
      </c>
      <c r="AF43" s="1267" t="s">
        <v>192</v>
      </c>
      <c r="AG43" s="1267" t="s">
        <v>193</v>
      </c>
      <c r="AH43" s="1267" t="str">
        <f>IF($E$43=0,"",$E$43)</f>
        <v>Тарифы на услуги по передаче теплоносителя</v>
      </c>
      <c r="AI43" s="1267" t="str">
        <f>IF($G$43=0,"",$G$43)</f>
        <v/>
      </c>
      <c r="AJ43" s="1267" t="str">
        <f>IF($J$43=0,"",$J$43)</f>
        <v/>
      </c>
      <c r="AK43" s="1267" t="str">
        <f>IF($K$43="нет","без дифференциации",IF($N$43=0,"",$N$43))</f>
        <v/>
      </c>
      <c r="AL43" s="1267" t="str">
        <f>IF($O$43="нет","без дифференциации",IF($R$43=0,"",$R$43))</f>
        <v/>
      </c>
      <c r="AM43" s="1267" t="str">
        <f>IF($S$43="нет","без дифференциации",IF($V$43=0,"",$V$43))</f>
        <v/>
      </c>
      <c r="AN43" s="1772">
        <f>$I$43</f>
        <v>0</v>
      </c>
      <c r="AO43" s="1267" t="str">
        <f>$I$43&amp;"."&amp;$M$43</f>
        <v>.</v>
      </c>
      <c r="AP43" s="1259" t="str">
        <f>$I$43&amp;"."&amp;$M$43&amp;"."&amp;$Q$43</f>
        <v>..</v>
      </c>
      <c r="AQ43" s="1259" t="str">
        <f>$I$43&amp;"."&amp;$M$43&amp;"."&amp;$Q$43&amp;"."&amp;$U$43</f>
        <v>...</v>
      </c>
      <c r="AR43" s="1283">
        <v>0</v>
      </c>
    </row>
    <row s="1853" customFormat="1" customHeight="1" ht="17.25" hidden="1">
      <c r="A44" s="321"/>
      <c r="C44" s="320"/>
      <c r="D44" s="2135"/>
      <c r="E44" s="2143"/>
      <c r="F44" s="2146"/>
      <c r="G44" s="2143"/>
      <c r="H44" s="2149"/>
      <c r="I44" s="2151"/>
      <c r="J44" s="2153"/>
      <c r="K44" s="2138"/>
      <c r="L44" s="2138"/>
      <c r="M44" s="2138"/>
      <c r="N44" s="2140"/>
      <c r="O44" s="2138"/>
      <c r="P44" s="2138"/>
      <c r="Q44" s="2138"/>
      <c r="R44" s="2141"/>
      <c r="S44" s="2138"/>
      <c r="T44" s="1297"/>
      <c r="U44" s="1297"/>
      <c r="V44" s="1297"/>
      <c r="W44" s="1298"/>
      <c r="X44" s="1259"/>
      <c r="Y44" s="1259"/>
      <c r="Z44" s="1259"/>
      <c r="AA44" s="1259"/>
      <c r="AB44" s="1259"/>
      <c r="AC44" s="1259"/>
      <c r="AD44" s="1259"/>
      <c r="AE44" s="1259"/>
      <c r="AF44" s="1259"/>
      <c r="AG44" s="1259"/>
      <c r="AH44" s="1259"/>
      <c r="AI44" s="1259"/>
      <c r="AJ44" s="1259"/>
      <c r="AK44" s="1259"/>
      <c r="AL44" s="1259"/>
      <c r="AM44" s="1259"/>
      <c r="AN44" s="1259"/>
      <c r="AO44" s="1259"/>
      <c r="AP44" s="1259"/>
      <c r="AQ44" s="1259"/>
      <c r="AR44" s="1283">
        <v>0</v>
      </c>
    </row>
    <row s="1853" customFormat="1" customHeight="1" ht="17.25" hidden="1">
      <c r="A45" s="321"/>
      <c r="C45" s="320"/>
      <c r="D45" s="2136"/>
      <c r="E45" s="2144"/>
      <c r="F45" s="2146"/>
      <c r="G45" s="2144"/>
      <c r="H45" s="2149"/>
      <c r="I45" s="2151"/>
      <c r="J45" s="2154"/>
      <c r="K45" s="2138"/>
      <c r="L45" s="2138"/>
      <c r="M45" s="2138"/>
      <c r="N45" s="2141"/>
      <c r="O45" s="2138"/>
      <c r="P45" s="1418"/>
      <c r="Q45" s="1297"/>
      <c r="R45" s="1297"/>
      <c r="S45" s="329"/>
      <c r="T45" s="329"/>
      <c r="U45" s="329"/>
      <c r="V45" s="329"/>
      <c r="W45" s="1298"/>
      <c r="X45" s="1259"/>
      <c r="Y45" s="1259"/>
      <c r="Z45" s="1259"/>
      <c r="AA45" s="1259"/>
      <c r="AB45" s="1259"/>
      <c r="AC45" s="1259"/>
      <c r="AD45" s="1259"/>
      <c r="AE45" s="1259"/>
      <c r="AF45" s="1259"/>
      <c r="AG45" s="1259"/>
      <c r="AH45" s="1259"/>
      <c r="AI45" s="1259"/>
      <c r="AJ45" s="1259"/>
      <c r="AK45" s="1259"/>
      <c r="AL45" s="1259"/>
      <c r="AM45" s="1259"/>
      <c r="AN45" s="1259"/>
      <c r="AO45" s="1259"/>
      <c r="AP45" s="1259"/>
      <c r="AQ45" s="1259"/>
      <c r="AR45" s="1283">
        <v>0</v>
      </c>
    </row>
    <row s="1853" customFormat="1" customHeight="1" ht="17.25" hidden="1">
      <c r="A46" s="321"/>
      <c r="C46" s="209"/>
      <c r="D46" s="2136"/>
      <c r="E46" s="2144"/>
      <c r="F46" s="2146"/>
      <c r="G46" s="2144"/>
      <c r="H46" s="2149"/>
      <c r="I46" s="2151"/>
      <c r="J46" s="2154"/>
      <c r="K46" s="2138"/>
      <c r="L46" s="1297"/>
      <c r="M46" s="1297"/>
      <c r="N46" s="1297"/>
      <c r="O46" s="1297"/>
      <c r="P46" s="1297"/>
      <c r="Q46" s="1297"/>
      <c r="R46" s="1297"/>
      <c r="S46" s="329"/>
      <c r="T46" s="329"/>
      <c r="U46" s="329"/>
      <c r="V46" s="329"/>
      <c r="W46" s="1298"/>
      <c r="Y46" s="1267"/>
      <c r="Z46" s="1267"/>
      <c r="AA46" s="1267"/>
      <c r="AB46" s="1267"/>
      <c r="AC46" s="1267"/>
      <c r="AD46" s="1267"/>
      <c r="AE46" s="1267"/>
      <c r="AF46" s="1267"/>
      <c r="AG46" s="1267"/>
      <c r="AH46" s="1267"/>
      <c r="AI46" s="1267"/>
      <c r="AJ46" s="1267"/>
      <c r="AK46" s="1267"/>
      <c r="AL46" s="1267"/>
      <c r="AM46" s="1267"/>
      <c r="AN46" s="1267"/>
      <c r="AO46" s="1267"/>
      <c r="AP46" s="1267"/>
      <c r="AQ46" s="1267"/>
      <c r="AR46" s="1326">
        <v>0</v>
      </c>
    </row>
    <row s="1853" customFormat="1" customHeight="1" ht="17.25" hidden="1">
      <c r="A47" s="321"/>
      <c r="C47" s="320"/>
      <c r="D47" s="2136"/>
      <c r="E47" s="2144"/>
      <c r="F47" s="2147"/>
      <c r="G47" s="2144"/>
      <c r="H47" s="1299"/>
      <c r="I47" s="1300"/>
      <c r="J47" s="1300"/>
      <c r="K47" s="1300"/>
      <c r="L47" s="1300"/>
      <c r="M47" s="1300"/>
      <c r="N47" s="1300"/>
      <c r="O47" s="1300"/>
      <c r="P47" s="1300"/>
      <c r="Q47" s="1300"/>
      <c r="R47" s="1300"/>
      <c r="S47" s="1301"/>
      <c r="T47" s="1301"/>
      <c r="U47" s="1301"/>
      <c r="V47" s="1301"/>
      <c r="W47" s="1302"/>
      <c r="X47" s="1259"/>
      <c r="Y47" s="1259"/>
      <c r="Z47" s="1259"/>
      <c r="AA47" s="1259"/>
      <c r="AB47" s="1259"/>
      <c r="AC47" s="1259"/>
      <c r="AD47" s="1259"/>
      <c r="AE47" s="1259"/>
      <c r="AF47" s="1259"/>
      <c r="AG47" s="1259"/>
      <c r="AH47" s="1259"/>
      <c r="AI47" s="1259"/>
      <c r="AJ47" s="1259"/>
      <c r="AK47" s="1259"/>
      <c r="AL47" s="1259"/>
      <c r="AM47" s="1259"/>
      <c r="AN47" s="1259"/>
      <c r="AO47" s="1259"/>
      <c r="AP47" s="1259"/>
      <c r="AQ47" s="1259"/>
      <c r="AR47" s="1283">
        <v>0</v>
      </c>
    </row>
    <row s="1853" customFormat="1" customHeight="1" ht="17.25" hidden="1">
      <c r="A48" s="321"/>
      <c r="C48" s="209"/>
      <c r="D48" s="2166">
        <v>7</v>
      </c>
      <c r="E48" s="2169" t="s">
        <v>194</v>
      </c>
      <c r="F48" s="2145" t="s">
        <v>19</v>
      </c>
      <c r="G48" s="2169"/>
      <c r="H48" s="2148"/>
      <c r="I48" s="2150"/>
      <c r="J48" s="2152"/>
      <c r="K48" s="2137"/>
      <c r="L48" s="2137"/>
      <c r="M48" s="2137"/>
      <c r="N48" s="2139"/>
      <c r="O48" s="2137"/>
      <c r="P48" s="2137"/>
      <c r="Q48" s="2137"/>
      <c r="R48" s="2142"/>
      <c r="S48" s="2137"/>
      <c r="T48" s="1420"/>
      <c r="U48" s="1420"/>
      <c r="V48" s="1419"/>
      <c r="W48" s="1296"/>
      <c r="X48" s="1267"/>
      <c r="Y48" s="1267"/>
      <c r="Z48" s="1267"/>
      <c r="AA48" s="1267"/>
      <c r="AB48" s="1267"/>
      <c r="AC48" s="1267" t="s">
        <v>195</v>
      </c>
      <c r="AD48" s="1267" t="s">
        <v>196</v>
      </c>
      <c r="AE48" s="1267" t="s">
        <v>197</v>
      </c>
      <c r="AF48" s="1267" t="s">
        <v>198</v>
      </c>
      <c r="AG48" s="1267" t="s">
        <v>199</v>
      </c>
      <c r="AH48" s="1267" t="str">
        <f>IF($E$48=0,"",$E$48)</f>
        <v>Плата за услуги по поддержанию резервной тепловой мощности при отсутствии потребления тепловой энергии</v>
      </c>
      <c r="AI48" s="1267" t="str">
        <f>IF($G$48=0,"",$G$48)</f>
        <v/>
      </c>
      <c r="AJ48" s="1267" t="str">
        <f>IF($J$48=0,"",$J$48)</f>
        <v/>
      </c>
      <c r="AK48" s="1267" t="str">
        <f>IF($K$48="нет","без дифференциации",IF($N$48=0,"",$N$48))</f>
        <v/>
      </c>
      <c r="AL48" s="1267" t="str">
        <f>IF($O$48="нет","без дифференциации",IF($R$48=0,"",$R$48))</f>
        <v/>
      </c>
      <c r="AM48" s="1267" t="str">
        <f>IF($S$48="нет","без дифференциации",IF($V$48=0,"",$V$48))</f>
        <v/>
      </c>
      <c r="AN48" s="1772">
        <f>$I$48</f>
        <v>0</v>
      </c>
      <c r="AO48" s="1267" t="str">
        <f>$I$48&amp;"."&amp;$M$48</f>
        <v>.</v>
      </c>
      <c r="AP48" s="1259" t="str">
        <f>$I$48&amp;"."&amp;$M$48&amp;"."&amp;$Q$48</f>
        <v>..</v>
      </c>
      <c r="AQ48" s="1259" t="str">
        <f>$I$48&amp;"."&amp;$M$48&amp;"."&amp;$Q$48&amp;"."&amp;$U$48</f>
        <v>...</v>
      </c>
      <c r="AR48" s="1308">
        <v>0</v>
      </c>
    </row>
    <row s="1853" customFormat="1" customHeight="1" ht="17.25" hidden="1">
      <c r="A49" s="321"/>
      <c r="C49" s="320"/>
      <c r="D49" s="2167"/>
      <c r="E49" s="2170"/>
      <c r="F49" s="2146"/>
      <c r="G49" s="2170"/>
      <c r="H49" s="2149"/>
      <c r="I49" s="2151"/>
      <c r="J49" s="2153"/>
      <c r="K49" s="2138"/>
      <c r="L49" s="2138"/>
      <c r="M49" s="2138"/>
      <c r="N49" s="2140"/>
      <c r="O49" s="2138"/>
      <c r="P49" s="2138"/>
      <c r="Q49" s="2138"/>
      <c r="R49" s="2141"/>
      <c r="S49" s="2138"/>
      <c r="T49" s="1297"/>
      <c r="U49" s="1297"/>
      <c r="V49" s="1297"/>
      <c r="W49" s="1298"/>
      <c r="X49" s="1259"/>
      <c r="Y49" s="1259"/>
      <c r="Z49" s="1259"/>
      <c r="AA49" s="1259"/>
      <c r="AB49" s="1259"/>
      <c r="AC49" s="1259"/>
      <c r="AD49" s="1259"/>
      <c r="AE49" s="1259"/>
      <c r="AF49" s="1259"/>
      <c r="AG49" s="1259"/>
      <c r="AH49" s="1259"/>
      <c r="AI49" s="1259"/>
      <c r="AJ49" s="1259"/>
      <c r="AK49" s="1259"/>
      <c r="AL49" s="1259"/>
      <c r="AM49" s="1259"/>
      <c r="AN49" s="1259"/>
      <c r="AO49" s="1259"/>
      <c r="AP49" s="1259"/>
      <c r="AQ49" s="1259"/>
      <c r="AR49" s="1308">
        <v>0</v>
      </c>
    </row>
    <row s="1853" customFormat="1" customHeight="1" ht="17.25" hidden="1">
      <c r="A50" s="321"/>
      <c r="C50" s="320"/>
      <c r="D50" s="2167"/>
      <c r="E50" s="2170"/>
      <c r="F50" s="2146"/>
      <c r="G50" s="2170"/>
      <c r="H50" s="2149"/>
      <c r="I50" s="2151"/>
      <c r="J50" s="2154"/>
      <c r="K50" s="2138"/>
      <c r="L50" s="2138"/>
      <c r="M50" s="2138"/>
      <c r="N50" s="2141"/>
      <c r="O50" s="2138"/>
      <c r="P50" s="1418"/>
      <c r="Q50" s="1297"/>
      <c r="R50" s="1297"/>
      <c r="S50" s="329"/>
      <c r="T50" s="329"/>
      <c r="U50" s="329"/>
      <c r="V50" s="329"/>
      <c r="W50" s="1298"/>
      <c r="X50" s="1259"/>
      <c r="Y50" s="1259"/>
      <c r="Z50" s="1259"/>
      <c r="AA50" s="1259"/>
      <c r="AB50" s="1259"/>
      <c r="AC50" s="1259"/>
      <c r="AD50" s="1259"/>
      <c r="AE50" s="1259"/>
      <c r="AF50" s="1259"/>
      <c r="AG50" s="1259"/>
      <c r="AH50" s="1259"/>
      <c r="AI50" s="1259"/>
      <c r="AJ50" s="1259"/>
      <c r="AK50" s="1259"/>
      <c r="AL50" s="1259"/>
      <c r="AM50" s="1259"/>
      <c r="AN50" s="1259"/>
      <c r="AO50" s="1259"/>
      <c r="AP50" s="1259"/>
      <c r="AQ50" s="1259"/>
      <c r="AR50" s="1308">
        <v>0</v>
      </c>
    </row>
    <row s="1853" customFormat="1" customHeight="1" ht="17.25" hidden="1">
      <c r="A51" s="321"/>
      <c r="C51" s="209"/>
      <c r="D51" s="2167"/>
      <c r="E51" s="2170"/>
      <c r="F51" s="2146"/>
      <c r="G51" s="2170"/>
      <c r="H51" s="2149"/>
      <c r="I51" s="2151"/>
      <c r="J51" s="2154"/>
      <c r="K51" s="2138"/>
      <c r="L51" s="1297"/>
      <c r="M51" s="1297"/>
      <c r="N51" s="1297"/>
      <c r="O51" s="1297"/>
      <c r="P51" s="1297"/>
      <c r="Q51" s="1297"/>
      <c r="R51" s="1297"/>
      <c r="S51" s="329"/>
      <c r="T51" s="329"/>
      <c r="U51" s="329"/>
      <c r="V51" s="329"/>
      <c r="W51" s="1298"/>
      <c r="Y51" s="1267"/>
      <c r="Z51" s="1267"/>
      <c r="AA51" s="1267"/>
      <c r="AB51" s="1267"/>
      <c r="AC51" s="1267"/>
      <c r="AD51" s="1267"/>
      <c r="AE51" s="1267"/>
      <c r="AF51" s="1267"/>
      <c r="AG51" s="1267"/>
      <c r="AH51" s="1267"/>
      <c r="AI51" s="1267"/>
      <c r="AJ51" s="1267"/>
      <c r="AK51" s="1267"/>
      <c r="AL51" s="1267"/>
      <c r="AM51" s="1267"/>
      <c r="AN51" s="1267"/>
      <c r="AO51" s="1267"/>
      <c r="AP51" s="1267"/>
      <c r="AQ51" s="1267"/>
      <c r="AR51" s="1326">
        <v>0</v>
      </c>
    </row>
    <row s="1853" customFormat="1" customHeight="1" ht="17.25" hidden="1">
      <c r="A52" s="321"/>
      <c r="C52" s="320"/>
      <c r="D52" s="2168"/>
      <c r="E52" s="2171"/>
      <c r="F52" s="2147"/>
      <c r="G52" s="2171"/>
      <c r="H52" s="1299"/>
      <c r="I52" s="1300"/>
      <c r="J52" s="1300"/>
      <c r="K52" s="1300"/>
      <c r="L52" s="1300"/>
      <c r="M52" s="1300"/>
      <c r="N52" s="1300"/>
      <c r="O52" s="1300"/>
      <c r="P52" s="1300"/>
      <c r="Q52" s="1300"/>
      <c r="R52" s="1300"/>
      <c r="S52" s="1301"/>
      <c r="T52" s="1301"/>
      <c r="U52" s="1301"/>
      <c r="V52" s="1301"/>
      <c r="W52" s="1302"/>
      <c r="X52" s="1259"/>
      <c r="Y52" s="1259"/>
      <c r="Z52" s="1259"/>
      <c r="AA52" s="1259"/>
      <c r="AB52" s="1259"/>
      <c r="AC52" s="1259"/>
      <c r="AD52" s="1259"/>
      <c r="AE52" s="1259"/>
      <c r="AF52" s="1259"/>
      <c r="AG52" s="1259"/>
      <c r="AH52" s="1259"/>
      <c r="AI52" s="1259"/>
      <c r="AJ52" s="1259"/>
      <c r="AK52" s="1259"/>
      <c r="AL52" s="1259"/>
      <c r="AM52" s="1259"/>
      <c r="AN52" s="1259"/>
      <c r="AO52" s="1259"/>
      <c r="AP52" s="1259"/>
      <c r="AQ52" s="1259"/>
      <c r="AR52" s="1308">
        <v>0</v>
      </c>
    </row>
    <row s="1853" customFormat="1" customHeight="1" ht="17.25" hidden="1">
      <c r="A53" s="321"/>
      <c r="C53" s="209"/>
      <c r="D53" s="2135">
        <v>8</v>
      </c>
      <c r="E53" s="2143" t="s">
        <v>200</v>
      </c>
      <c r="F53" s="2145" t="s">
        <v>19</v>
      </c>
      <c r="G53" s="2143"/>
      <c r="H53" s="2148"/>
      <c r="I53" s="2150"/>
      <c r="J53" s="2152"/>
      <c r="K53" s="2137"/>
      <c r="L53" s="2137"/>
      <c r="M53" s="2137"/>
      <c r="N53" s="2139"/>
      <c r="O53" s="2137"/>
      <c r="P53" s="2137"/>
      <c r="Q53" s="2137"/>
      <c r="R53" s="2142"/>
      <c r="S53" s="2137"/>
      <c r="T53" s="1470"/>
      <c r="U53" s="1470"/>
      <c r="V53" s="1472"/>
      <c r="W53" s="1296"/>
      <c r="X53" s="1267"/>
      <c r="Y53" s="1267"/>
      <c r="Z53" s="1267"/>
      <c r="AA53" s="1267"/>
      <c r="AB53" s="1267"/>
      <c r="AC53" s="1267" t="s">
        <v>201</v>
      </c>
      <c r="AD53" s="1267" t="s">
        <v>202</v>
      </c>
      <c r="AE53" s="1267" t="s">
        <v>203</v>
      </c>
      <c r="AF53" s="1267" t="s">
        <v>204</v>
      </c>
      <c r="AG53" s="1267" t="s">
        <v>205</v>
      </c>
      <c r="AH53" s="1267" t="str">
        <f>IF($E$53=0,"",$E$53)</f>
        <v>Плата за подключение (технологическое присоединение) к системе теплоснабжения</v>
      </c>
      <c r="AI53" s="1267" t="str">
        <f>IF($G$53=0,"",$G$53)</f>
        <v/>
      </c>
      <c r="AJ53" s="1267" t="str">
        <f>IF($J$53=0,"",$J$53)</f>
        <v/>
      </c>
      <c r="AK53" s="1267" t="str">
        <f>IF($K$53="нет","без дифференциации",IF($N$53=0,"",$N$53))</f>
        <v/>
      </c>
      <c r="AL53" s="1267" t="str">
        <f>IF($O$53="нет","без дифференциации",IF($R$53=0,"",$R$53))</f>
        <v/>
      </c>
      <c r="AM53" s="1267" t="str">
        <f>IF($S$53="нет","без дифференциации",IF($V$53=0,"",$V$53))</f>
        <v/>
      </c>
      <c r="AN53" s="1772">
        <f>$I$53</f>
        <v>0</v>
      </c>
      <c r="AO53" s="1267" t="str">
        <f>$I$53&amp;"."&amp;$M$53</f>
        <v>.</v>
      </c>
      <c r="AP53" s="1259" t="str">
        <f>$I$53&amp;"."&amp;$M$53&amp;"."&amp;$Q$53</f>
        <v>..</v>
      </c>
      <c r="AQ53" s="1259" t="str">
        <f>$I$53&amp;"."&amp;$M$53&amp;"."&amp;$Q$53&amp;"."&amp;$U$53</f>
        <v>...</v>
      </c>
      <c r="AR53" s="1308">
        <v>0</v>
      </c>
    </row>
    <row s="1853" customFormat="1" customHeight="1" ht="17.25" hidden="1">
      <c r="A54" s="321"/>
      <c r="C54" s="320"/>
      <c r="D54" s="2135"/>
      <c r="E54" s="2143"/>
      <c r="F54" s="2146"/>
      <c r="G54" s="2143"/>
      <c r="H54" s="2149"/>
      <c r="I54" s="2151"/>
      <c r="J54" s="2153"/>
      <c r="K54" s="2138"/>
      <c r="L54" s="2138"/>
      <c r="M54" s="2138"/>
      <c r="N54" s="2140"/>
      <c r="O54" s="2138"/>
      <c r="P54" s="2138"/>
      <c r="Q54" s="2138"/>
      <c r="R54" s="2141"/>
      <c r="S54" s="2138"/>
      <c r="T54" s="1297"/>
      <c r="U54" s="1297"/>
      <c r="V54" s="1297"/>
      <c r="W54" s="1298"/>
      <c r="X54" s="1259"/>
      <c r="Y54" s="1259"/>
      <c r="Z54" s="1259"/>
      <c r="AA54" s="1259"/>
      <c r="AB54" s="1259"/>
      <c r="AC54" s="1259"/>
      <c r="AD54" s="1259"/>
      <c r="AE54" s="1259"/>
      <c r="AF54" s="1259"/>
      <c r="AG54" s="1259"/>
      <c r="AH54" s="1259"/>
      <c r="AI54" s="1259"/>
      <c r="AJ54" s="1259"/>
      <c r="AK54" s="1259"/>
      <c r="AL54" s="1259"/>
      <c r="AM54" s="1259"/>
      <c r="AN54" s="1259"/>
      <c r="AO54" s="1259"/>
      <c r="AP54" s="1259"/>
      <c r="AQ54" s="1259"/>
      <c r="AR54" s="1308">
        <v>0</v>
      </c>
    </row>
    <row s="1853" customFormat="1" customHeight="1" ht="17.25" hidden="1">
      <c r="A55" s="321"/>
      <c r="C55" s="320"/>
      <c r="D55" s="2136"/>
      <c r="E55" s="2144"/>
      <c r="F55" s="2146"/>
      <c r="G55" s="2144"/>
      <c r="H55" s="2149"/>
      <c r="I55" s="2151"/>
      <c r="J55" s="2154"/>
      <c r="K55" s="2138"/>
      <c r="L55" s="2138"/>
      <c r="M55" s="2138"/>
      <c r="N55" s="2141"/>
      <c r="O55" s="2138"/>
      <c r="P55" s="1471"/>
      <c r="Q55" s="1297"/>
      <c r="R55" s="1297"/>
      <c r="S55" s="329"/>
      <c r="T55" s="329"/>
      <c r="U55" s="329"/>
      <c r="V55" s="329"/>
      <c r="W55" s="1298"/>
      <c r="X55" s="1259"/>
      <c r="Y55" s="1259"/>
      <c r="Z55" s="1259"/>
      <c r="AA55" s="1259"/>
      <c r="AB55" s="1259"/>
      <c r="AC55" s="1259"/>
      <c r="AD55" s="1259"/>
      <c r="AE55" s="1259"/>
      <c r="AF55" s="1259"/>
      <c r="AG55" s="1259"/>
      <c r="AH55" s="1259"/>
      <c r="AI55" s="1259"/>
      <c r="AJ55" s="1259"/>
      <c r="AK55" s="1259"/>
      <c r="AL55" s="1259"/>
      <c r="AM55" s="1259"/>
      <c r="AN55" s="1259"/>
      <c r="AO55" s="1259"/>
      <c r="AP55" s="1259"/>
      <c r="AQ55" s="1259"/>
      <c r="AR55" s="1308">
        <v>0</v>
      </c>
    </row>
    <row s="1853" customFormat="1" customHeight="1" ht="17.25" hidden="1">
      <c r="A56" s="321"/>
      <c r="C56" s="209"/>
      <c r="D56" s="2136"/>
      <c r="E56" s="2144"/>
      <c r="F56" s="2146"/>
      <c r="G56" s="2144"/>
      <c r="H56" s="2149"/>
      <c r="I56" s="2151"/>
      <c r="J56" s="2154"/>
      <c r="K56" s="2138"/>
      <c r="L56" s="1297"/>
      <c r="M56" s="1297"/>
      <c r="N56" s="1297"/>
      <c r="O56" s="1297"/>
      <c r="P56" s="1297"/>
      <c r="Q56" s="1297"/>
      <c r="R56" s="1297"/>
      <c r="S56" s="329"/>
      <c r="T56" s="329"/>
      <c r="U56" s="329"/>
      <c r="V56" s="329"/>
      <c r="W56" s="1298"/>
      <c r="Y56" s="1267"/>
      <c r="Z56" s="1267"/>
      <c r="AA56" s="1267"/>
      <c r="AB56" s="1267"/>
      <c r="AC56" s="1267"/>
      <c r="AD56" s="1267"/>
      <c r="AE56" s="1267"/>
      <c r="AF56" s="1267"/>
      <c r="AG56" s="1267"/>
      <c r="AH56" s="1267"/>
      <c r="AI56" s="1267"/>
      <c r="AJ56" s="1267"/>
      <c r="AK56" s="1267"/>
      <c r="AL56" s="1267"/>
      <c r="AM56" s="1267"/>
      <c r="AN56" s="1267"/>
      <c r="AO56" s="1267"/>
      <c r="AP56" s="1267"/>
      <c r="AQ56" s="1267"/>
      <c r="AR56" s="1326">
        <v>0</v>
      </c>
    </row>
    <row s="1853" customFormat="1" customHeight="1" ht="17.25" hidden="1">
      <c r="A57" s="321"/>
      <c r="C57" s="320"/>
      <c r="D57" s="2136"/>
      <c r="E57" s="2144"/>
      <c r="F57" s="2147"/>
      <c r="G57" s="2144"/>
      <c r="H57" s="1299"/>
      <c r="I57" s="1300"/>
      <c r="J57" s="1300"/>
      <c r="K57" s="1300"/>
      <c r="L57" s="1300"/>
      <c r="M57" s="1300"/>
      <c r="N57" s="1300"/>
      <c r="O57" s="1300"/>
      <c r="P57" s="1300"/>
      <c r="Q57" s="1300"/>
      <c r="R57" s="1300"/>
      <c r="S57" s="1301"/>
      <c r="T57" s="1301"/>
      <c r="U57" s="1301"/>
      <c r="V57" s="1301"/>
      <c r="W57" s="1302"/>
      <c r="X57" s="1259"/>
      <c r="Y57" s="1259"/>
      <c r="Z57" s="1259"/>
      <c r="AA57" s="1259"/>
      <c r="AB57" s="1259"/>
      <c r="AC57" s="1259"/>
      <c r="AD57" s="1259"/>
      <c r="AE57" s="1259"/>
      <c r="AF57" s="1259"/>
      <c r="AG57" s="1259"/>
      <c r="AH57" s="1259"/>
      <c r="AI57" s="1259"/>
      <c r="AJ57" s="1259"/>
      <c r="AK57" s="1259"/>
      <c r="AL57" s="1259"/>
      <c r="AM57" s="1259"/>
      <c r="AN57" s="1259"/>
      <c r="AO57" s="1259"/>
      <c r="AP57" s="1259"/>
      <c r="AQ57" s="1259"/>
      <c r="AR57" s="1308">
        <v>0</v>
      </c>
    </row>
    <row s="1853" customFormat="1" customHeight="1" ht="17.25" hidden="1">
      <c r="A58" s="321"/>
      <c r="C58" s="209"/>
      <c r="D58" s="2135">
        <v>9</v>
      </c>
      <c r="E58" s="2143" t="s">
        <v>206</v>
      </c>
      <c r="F58" s="2145" t="s">
        <v>19</v>
      </c>
      <c r="G58" s="2143"/>
      <c r="H58" s="2148"/>
      <c r="I58" s="2150"/>
      <c r="J58" s="2152"/>
      <c r="K58" s="2137"/>
      <c r="L58" s="2137"/>
      <c r="M58" s="2137"/>
      <c r="N58" s="2139"/>
      <c r="O58" s="2137"/>
      <c r="P58" s="2137"/>
      <c r="Q58" s="2137"/>
      <c r="R58" s="2142"/>
      <c r="S58" s="2137"/>
      <c r="T58" s="1931"/>
      <c r="U58" s="1931"/>
      <c r="V58" s="1933"/>
      <c r="W58" s="1296"/>
      <c r="X58" s="1267"/>
      <c r="Y58" s="1267"/>
      <c r="Z58" s="1267"/>
      <c r="AA58" s="1267"/>
      <c r="AB58" s="1267"/>
      <c r="AC58" s="1267" t="s">
        <v>207</v>
      </c>
      <c r="AD58" s="1267" t="s">
        <v>208</v>
      </c>
      <c r="AE58" s="1267" t="s">
        <v>209</v>
      </c>
      <c r="AF58" s="1267" t="s">
        <v>210</v>
      </c>
      <c r="AG58" s="1267" t="s">
        <v>211</v>
      </c>
      <c r="AH58" s="1267" t="str">
        <f>IF($E$58=0,"",$E$58)</f>
        <v>Плата за подключение (технологическое присоединение) к системе теплоснабжения (индивидуальная)</v>
      </c>
      <c r="AI58" s="1267" t="str">
        <f>IF($G$58=0,"",$G$58)</f>
        <v/>
      </c>
      <c r="AJ58" s="1267" t="str">
        <f>IF($J$58=0,"",$J$58)</f>
        <v/>
      </c>
      <c r="AK58" s="1267" t="str">
        <f>IF($K$58="нет","без дифференциации",IF($N$58=0,"",$N$58))</f>
        <v/>
      </c>
      <c r="AL58" s="1267" t="str">
        <f>IF($O$58="нет","без дифференциации",IF($R$58=0,"",$R$58))</f>
        <v/>
      </c>
      <c r="AM58" s="1267" t="str">
        <f>IF($S$58="нет","без дифференциации",IF($V$58=0,"",$V$58))</f>
        <v/>
      </c>
      <c r="AN58" s="1772">
        <f>$I$58</f>
        <v>0</v>
      </c>
      <c r="AO58" s="1267" t="str">
        <f>$I$58&amp;"."&amp;$M$58</f>
        <v>.</v>
      </c>
      <c r="AP58" s="1266" t="str">
        <f>$I$58&amp;"."&amp;$M$58&amp;"."&amp;$Q$58</f>
        <v>..</v>
      </c>
      <c r="AQ58" s="1266" t="str">
        <f>$I$58&amp;"."&amp;$M$58&amp;"."&amp;$Q$58&amp;"."&amp;$U$58</f>
        <v>...</v>
      </c>
      <c r="AR58" s="1467">
        <v>0</v>
      </c>
    </row>
    <row s="1853" customFormat="1" customHeight="1" ht="17.25" hidden="1">
      <c r="A59" s="321"/>
      <c r="C59" s="320"/>
      <c r="D59" s="2135"/>
      <c r="E59" s="2143"/>
      <c r="F59" s="2146"/>
      <c r="G59" s="2143"/>
      <c r="H59" s="2149"/>
      <c r="I59" s="2151"/>
      <c r="J59" s="2153"/>
      <c r="K59" s="2138"/>
      <c r="L59" s="2138"/>
      <c r="M59" s="2138"/>
      <c r="N59" s="2140"/>
      <c r="O59" s="2138"/>
      <c r="P59" s="2138"/>
      <c r="Q59" s="2138"/>
      <c r="R59" s="2141"/>
      <c r="S59" s="2138"/>
      <c r="T59" s="1934"/>
      <c r="U59" s="1934"/>
      <c r="V59" s="1934"/>
      <c r="W59" s="1935"/>
      <c r="X59" s="1266"/>
      <c r="Y59" s="1266"/>
      <c r="Z59" s="1266"/>
      <c r="AA59" s="1266"/>
      <c r="AB59" s="1266"/>
      <c r="AC59" s="1266"/>
      <c r="AD59" s="1266"/>
      <c r="AE59" s="1266"/>
      <c r="AF59" s="1266"/>
      <c r="AG59" s="1266"/>
      <c r="AH59" s="1266"/>
      <c r="AI59" s="1266"/>
      <c r="AJ59" s="1266"/>
      <c r="AK59" s="1266"/>
      <c r="AL59" s="1266"/>
      <c r="AM59" s="1266"/>
      <c r="AN59" s="1266"/>
      <c r="AO59" s="1266"/>
      <c r="AP59" s="1266"/>
      <c r="AQ59" s="1266"/>
      <c r="AR59" s="1467">
        <v>0</v>
      </c>
    </row>
    <row s="1853" customFormat="1" customHeight="1" ht="17.25" hidden="1">
      <c r="A60" s="321"/>
      <c r="C60" s="320"/>
      <c r="D60" s="2136"/>
      <c r="E60" s="2144"/>
      <c r="F60" s="2146"/>
      <c r="G60" s="2144"/>
      <c r="H60" s="2149"/>
      <c r="I60" s="2151"/>
      <c r="J60" s="2154"/>
      <c r="K60" s="2138"/>
      <c r="L60" s="2138"/>
      <c r="M60" s="2138"/>
      <c r="N60" s="2141"/>
      <c r="O60" s="2138"/>
      <c r="P60" s="1932"/>
      <c r="Q60" s="1934"/>
      <c r="R60" s="1934"/>
      <c r="S60" s="329"/>
      <c r="T60" s="329"/>
      <c r="U60" s="329"/>
      <c r="V60" s="329"/>
      <c r="W60" s="1935"/>
      <c r="X60" s="1266"/>
      <c r="Y60" s="1266"/>
      <c r="Z60" s="1266"/>
      <c r="AA60" s="1266"/>
      <c r="AB60" s="1266"/>
      <c r="AC60" s="1266"/>
      <c r="AD60" s="1266"/>
      <c r="AE60" s="1266"/>
      <c r="AF60" s="1266"/>
      <c r="AG60" s="1266"/>
      <c r="AH60" s="1266"/>
      <c r="AI60" s="1266"/>
      <c r="AJ60" s="1266"/>
      <c r="AK60" s="1266"/>
      <c r="AL60" s="1266"/>
      <c r="AM60" s="1266"/>
      <c r="AN60" s="1266"/>
      <c r="AO60" s="1266"/>
      <c r="AP60" s="1266"/>
      <c r="AQ60" s="1266"/>
      <c r="AR60" s="1467">
        <v>0</v>
      </c>
    </row>
    <row s="1853" customFormat="1" customHeight="1" ht="17.25" hidden="1">
      <c r="A61" s="321"/>
      <c r="C61" s="209"/>
      <c r="D61" s="2136"/>
      <c r="E61" s="2144"/>
      <c r="F61" s="2146"/>
      <c r="G61" s="2144"/>
      <c r="H61" s="2149"/>
      <c r="I61" s="2151"/>
      <c r="J61" s="2154"/>
      <c r="K61" s="2138"/>
      <c r="L61" s="1934"/>
      <c r="M61" s="1934"/>
      <c r="N61" s="1934"/>
      <c r="O61" s="1934"/>
      <c r="P61" s="1934"/>
      <c r="Q61" s="1934"/>
      <c r="R61" s="1934"/>
      <c r="S61" s="329"/>
      <c r="T61" s="329"/>
      <c r="U61" s="329"/>
      <c r="V61" s="329"/>
      <c r="W61" s="1935"/>
      <c r="Y61" s="1267"/>
      <c r="Z61" s="1267"/>
      <c r="AA61" s="1267"/>
      <c r="AB61" s="1267"/>
      <c r="AC61" s="1267"/>
      <c r="AD61" s="1267"/>
      <c r="AE61" s="1267"/>
      <c r="AF61" s="1267"/>
      <c r="AG61" s="1267"/>
      <c r="AH61" s="1267"/>
      <c r="AI61" s="1267"/>
      <c r="AJ61" s="1267"/>
      <c r="AK61" s="1267"/>
      <c r="AL61" s="1267"/>
      <c r="AM61" s="1267"/>
      <c r="AN61" s="1267"/>
      <c r="AO61" s="1267"/>
      <c r="AP61" s="1267"/>
      <c r="AQ61" s="1267"/>
      <c r="AR61" s="1467">
        <v>0</v>
      </c>
    </row>
    <row s="1853" customFormat="1" customHeight="1" ht="17.25" hidden="1">
      <c r="A62" s="321"/>
      <c r="C62" s="320"/>
      <c r="D62" s="2136"/>
      <c r="E62" s="2144"/>
      <c r="F62" s="2147"/>
      <c r="G62" s="2144"/>
      <c r="H62" s="1299"/>
      <c r="I62" s="1936"/>
      <c r="J62" s="1936"/>
      <c r="K62" s="1936"/>
      <c r="L62" s="1936"/>
      <c r="M62" s="1936"/>
      <c r="N62" s="1936"/>
      <c r="O62" s="1936"/>
      <c r="P62" s="1936"/>
      <c r="Q62" s="1936"/>
      <c r="R62" s="1936"/>
      <c r="S62" s="1301"/>
      <c r="T62" s="1301"/>
      <c r="U62" s="1301"/>
      <c r="V62" s="1301"/>
      <c r="W62" s="1937"/>
      <c r="X62" s="1266"/>
      <c r="Y62" s="1266"/>
      <c r="Z62" s="1266"/>
      <c r="AA62" s="1266"/>
      <c r="AB62" s="1266"/>
      <c r="AC62" s="1266"/>
      <c r="AD62" s="1266"/>
      <c r="AE62" s="1266"/>
      <c r="AF62" s="1266"/>
      <c r="AG62" s="1266"/>
      <c r="AH62" s="1266"/>
      <c r="AI62" s="1266"/>
      <c r="AJ62" s="1266"/>
      <c r="AK62" s="1266"/>
      <c r="AL62" s="1266"/>
      <c r="AM62" s="1266"/>
      <c r="AN62" s="1266"/>
      <c r="AO62" s="1266"/>
      <c r="AP62" s="1266"/>
      <c r="AQ62" s="1266"/>
      <c r="AR62" s="1467">
        <v>0</v>
      </c>
    </row>
    <row s="1853" customFormat="1" customHeight="1" ht="17.25" hidden="1">
      <c r="A63" s="321"/>
      <c r="C63" s="209"/>
      <c r="D63" s="2135">
        <v>10</v>
      </c>
      <c r="E63" s="2143" t="s">
        <v>212</v>
      </c>
      <c r="F63" s="2145" t="s">
        <v>19</v>
      </c>
      <c r="G63" s="2143"/>
      <c r="H63" s="2148"/>
      <c r="I63" s="2150"/>
      <c r="J63" s="2152"/>
      <c r="K63" s="2137"/>
      <c r="L63" s="2137"/>
      <c r="M63" s="2137"/>
      <c r="N63" s="2139"/>
      <c r="O63" s="2137"/>
      <c r="P63" s="2137"/>
      <c r="Q63" s="2137"/>
      <c r="R63" s="2142"/>
      <c r="S63" s="2137"/>
      <c r="T63" s="1931"/>
      <c r="U63" s="1931"/>
      <c r="V63" s="1933"/>
      <c r="W63" s="1296"/>
      <c r="X63" s="1267"/>
      <c r="Y63" s="1267"/>
      <c r="Z63" s="1267"/>
      <c r="AA63" s="1267"/>
      <c r="AB63" s="1267"/>
      <c r="AC63" s="1267" t="s">
        <v>213</v>
      </c>
      <c r="AD63" s="1267" t="s">
        <v>214</v>
      </c>
      <c r="AE63" s="1267" t="s">
        <v>215</v>
      </c>
      <c r="AF63" s="1267" t="s">
        <v>216</v>
      </c>
      <c r="AG63" s="1267" t="s">
        <v>217</v>
      </c>
      <c r="AH63" s="1267" t="str">
        <f>IF($E$63=0,"",$E$63)</f>
        <v>Предельный уровень цены на тепловую энергию (мощность), поставляемую теплоснабжающими организациями потребителям</v>
      </c>
      <c r="AI63" s="1267" t="str">
        <f>IF($G$63=0,"",$G$63)</f>
        <v/>
      </c>
      <c r="AJ63" s="1267" t="str">
        <f>IF($J$63=0,"",$J$63)</f>
        <v/>
      </c>
      <c r="AK63" s="1267" t="str">
        <f>IF($K$63="нет","без дифференциации",IF($N$63=0,"",$N$63))</f>
        <v/>
      </c>
      <c r="AL63" s="1267" t="str">
        <f>IF($O$63="нет","без дифференциации",IF($R$63=0,"",$R$63))</f>
        <v/>
      </c>
      <c r="AM63" s="1267" t="str">
        <f>IF($S$63="нет","без дифференциации",IF($V$63=0,"",$V$63))</f>
        <v/>
      </c>
      <c r="AN63" s="1772">
        <f>$I$63</f>
        <v>0</v>
      </c>
      <c r="AO63" s="1267" t="str">
        <f>$I$63&amp;"."&amp;$M$63</f>
        <v>.</v>
      </c>
      <c r="AP63" s="1266" t="str">
        <f>$I$63&amp;"."&amp;$M$63&amp;"."&amp;$Q$63</f>
        <v>..</v>
      </c>
      <c r="AQ63" s="1266" t="str">
        <f>$I$63&amp;"."&amp;$M$63&amp;"."&amp;$Q$63&amp;"."&amp;$U$63</f>
        <v>...</v>
      </c>
      <c r="AR63" s="1467">
        <v>0</v>
      </c>
    </row>
    <row s="1853" customFormat="1" customHeight="1" ht="17.25" hidden="1">
      <c r="A64" s="321"/>
      <c r="C64" s="320"/>
      <c r="D64" s="2135"/>
      <c r="E64" s="2143"/>
      <c r="F64" s="2146"/>
      <c r="G64" s="2143"/>
      <c r="H64" s="2149"/>
      <c r="I64" s="2151"/>
      <c r="J64" s="2153"/>
      <c r="K64" s="2138"/>
      <c r="L64" s="2138"/>
      <c r="M64" s="2138"/>
      <c r="N64" s="2140"/>
      <c r="O64" s="2138"/>
      <c r="P64" s="2138"/>
      <c r="Q64" s="2138"/>
      <c r="R64" s="2141"/>
      <c r="S64" s="2138"/>
      <c r="T64" s="1934"/>
      <c r="U64" s="1934"/>
      <c r="V64" s="1934"/>
      <c r="W64" s="1935"/>
      <c r="X64" s="1266"/>
      <c r="Y64" s="1266"/>
      <c r="Z64" s="1266"/>
      <c r="AA64" s="1266"/>
      <c r="AB64" s="1266"/>
      <c r="AC64" s="1266"/>
      <c r="AD64" s="1266"/>
      <c r="AE64" s="1266"/>
      <c r="AF64" s="1266"/>
      <c r="AG64" s="1266"/>
      <c r="AH64" s="1266"/>
      <c r="AI64" s="1266"/>
      <c r="AJ64" s="1266"/>
      <c r="AK64" s="1266"/>
      <c r="AL64" s="1266"/>
      <c r="AM64" s="1266"/>
      <c r="AN64" s="1266"/>
      <c r="AO64" s="1266"/>
      <c r="AP64" s="1266"/>
      <c r="AQ64" s="1266"/>
      <c r="AR64" s="1467">
        <v>0</v>
      </c>
    </row>
    <row s="1853" customFormat="1" customHeight="1" ht="17.25" hidden="1">
      <c r="A65" s="321"/>
      <c r="C65" s="320"/>
      <c r="D65" s="2136"/>
      <c r="E65" s="2144"/>
      <c r="F65" s="2146"/>
      <c r="G65" s="2144"/>
      <c r="H65" s="2149"/>
      <c r="I65" s="2151"/>
      <c r="J65" s="2154"/>
      <c r="K65" s="2138"/>
      <c r="L65" s="2138"/>
      <c r="M65" s="2138"/>
      <c r="N65" s="2141"/>
      <c r="O65" s="2138"/>
      <c r="P65" s="1932"/>
      <c r="Q65" s="1934"/>
      <c r="R65" s="1934"/>
      <c r="S65" s="329"/>
      <c r="T65" s="329"/>
      <c r="U65" s="329"/>
      <c r="V65" s="329"/>
      <c r="W65" s="1935"/>
      <c r="X65" s="1266"/>
      <c r="Y65" s="1266"/>
      <c r="Z65" s="1266"/>
      <c r="AA65" s="1266"/>
      <c r="AB65" s="1266"/>
      <c r="AC65" s="1266"/>
      <c r="AD65" s="1266"/>
      <c r="AE65" s="1266"/>
      <c r="AF65" s="1266"/>
      <c r="AG65" s="1266"/>
      <c r="AH65" s="1266"/>
      <c r="AI65" s="1266"/>
      <c r="AJ65" s="1266"/>
      <c r="AK65" s="1266"/>
      <c r="AL65" s="1266"/>
      <c r="AM65" s="1266"/>
      <c r="AN65" s="1266"/>
      <c r="AO65" s="1266"/>
      <c r="AP65" s="1266"/>
      <c r="AQ65" s="1266"/>
      <c r="AR65" s="1467">
        <v>0</v>
      </c>
    </row>
    <row s="1853" customFormat="1" customHeight="1" ht="17.25" hidden="1">
      <c r="A66" s="321"/>
      <c r="C66" s="209"/>
      <c r="D66" s="2136"/>
      <c r="E66" s="2144"/>
      <c r="F66" s="2146"/>
      <c r="G66" s="2144"/>
      <c r="H66" s="2149"/>
      <c r="I66" s="2151"/>
      <c r="J66" s="2154"/>
      <c r="K66" s="2138"/>
      <c r="L66" s="1934"/>
      <c r="M66" s="1934"/>
      <c r="N66" s="1934"/>
      <c r="O66" s="1934"/>
      <c r="P66" s="1934"/>
      <c r="Q66" s="1934"/>
      <c r="R66" s="1934"/>
      <c r="S66" s="329"/>
      <c r="T66" s="329"/>
      <c r="U66" s="329"/>
      <c r="V66" s="329"/>
      <c r="W66" s="1935"/>
      <c r="Y66" s="1267"/>
      <c r="Z66" s="1267"/>
      <c r="AA66" s="1267"/>
      <c r="AB66" s="1267"/>
      <c r="AC66" s="1267"/>
      <c r="AD66" s="1267"/>
      <c r="AE66" s="1267"/>
      <c r="AF66" s="1267"/>
      <c r="AG66" s="1267"/>
      <c r="AH66" s="1267"/>
      <c r="AI66" s="1267"/>
      <c r="AJ66" s="1267"/>
      <c r="AK66" s="1267"/>
      <c r="AL66" s="1267"/>
      <c r="AM66" s="1267"/>
      <c r="AN66" s="1267"/>
      <c r="AO66" s="1267"/>
      <c r="AP66" s="1267"/>
      <c r="AQ66" s="1267"/>
      <c r="AR66" s="1467">
        <v>0</v>
      </c>
    </row>
    <row s="1853" customFormat="1" customHeight="1" ht="17.25" hidden="1">
      <c r="A67" s="321"/>
      <c r="C67" s="320"/>
      <c r="D67" s="2136"/>
      <c r="E67" s="2144"/>
      <c r="F67" s="2147"/>
      <c r="G67" s="2144"/>
      <c r="H67" s="1299"/>
      <c r="I67" s="1936"/>
      <c r="J67" s="1936"/>
      <c r="K67" s="1936"/>
      <c r="L67" s="1936"/>
      <c r="M67" s="1936"/>
      <c r="N67" s="1936"/>
      <c r="O67" s="1936"/>
      <c r="P67" s="1936"/>
      <c r="Q67" s="1936"/>
      <c r="R67" s="1936"/>
      <c r="S67" s="1301"/>
      <c r="T67" s="1301"/>
      <c r="U67" s="1301"/>
      <c r="V67" s="1301"/>
      <c r="W67" s="1937"/>
      <c r="X67" s="1266"/>
      <c r="Y67" s="1266"/>
      <c r="Z67" s="1266"/>
      <c r="AA67" s="1266"/>
      <c r="AB67" s="1266"/>
      <c r="AC67" s="1266"/>
      <c r="AD67" s="1266"/>
      <c r="AE67" s="1266"/>
      <c r="AF67" s="1266"/>
      <c r="AG67" s="1266"/>
      <c r="AH67" s="1266"/>
      <c r="AI67" s="1266"/>
      <c r="AJ67" s="1266"/>
      <c r="AK67" s="1266"/>
      <c r="AL67" s="1266"/>
      <c r="AM67" s="1266"/>
      <c r="AN67" s="1266"/>
      <c r="AO67" s="1266"/>
      <c r="AP67" s="1266"/>
      <c r="AQ67" s="1266"/>
      <c r="AR67" s="1467">
        <v>0</v>
      </c>
    </row>
    <row customHeight="1" ht="11.25" hidden="1">
      <c r="AR68" s="104">
        <v>0</v>
      </c>
    </row>
    <row customHeight="1" ht="11.25" hidden="1">
      <c r="E69" s="2174" t="s">
        <v>218</v>
      </c>
      <c r="F69" s="2174"/>
      <c r="G69" s="2174"/>
      <c r="H69" s="2174"/>
      <c r="I69" s="2174"/>
      <c r="J69" s="2174"/>
      <c r="K69" s="2174"/>
      <c r="L69" s="2174"/>
      <c r="M69" s="2174"/>
      <c r="N69" s="2174"/>
      <c r="O69" s="2174"/>
      <c r="P69" s="2174"/>
      <c r="Q69" s="2174"/>
      <c r="R69" s="2174"/>
      <c r="S69" s="2174"/>
      <c r="T69" s="2174"/>
      <c r="U69" s="2174"/>
      <c r="V69" s="2174"/>
      <c r="W69" s="2174"/>
      <c r="AR69" s="104">
        <v>0</v>
      </c>
    </row>
    <row customHeight="1" ht="36.75" hidden="1">
      <c r="E70" s="2172" t="s">
        <v>219</v>
      </c>
      <c r="F70" s="2172"/>
      <c r="G70" s="2173"/>
      <c r="H70" s="2173"/>
      <c r="I70" s="2173"/>
      <c r="J70" s="2173"/>
      <c r="K70" s="2173"/>
      <c r="L70" s="2173"/>
      <c r="M70" s="2173"/>
      <c r="N70" s="2173"/>
      <c r="O70" s="2173"/>
      <c r="P70" s="2173"/>
      <c r="Q70" s="2173"/>
      <c r="R70" s="2173"/>
      <c r="S70" s="2173"/>
      <c r="T70" s="2173"/>
      <c r="U70" s="2173"/>
      <c r="V70" s="2173"/>
      <c r="W70" s="2173"/>
      <c r="AR70" s="104">
        <v>0</v>
      </c>
    </row>
    <row customHeight="1" ht="28.5" hidden="1">
      <c r="E71" s="2172" t="s">
        <v>220</v>
      </c>
      <c r="F71" s="2172"/>
      <c r="G71" s="2173"/>
      <c r="H71" s="2173"/>
      <c r="I71" s="2173"/>
      <c r="J71" s="2173"/>
      <c r="K71" s="2173"/>
      <c r="L71" s="2173"/>
      <c r="M71" s="2173"/>
      <c r="N71" s="2173"/>
      <c r="O71" s="2173"/>
      <c r="P71" s="2173"/>
      <c r="Q71" s="2173"/>
      <c r="R71" s="2173"/>
      <c r="S71" s="2173"/>
      <c r="T71" s="2173"/>
      <c r="U71" s="2173"/>
      <c r="V71" s="2173"/>
      <c r="W71" s="2173"/>
      <c r="AR71" s="104">
        <v>0</v>
      </c>
    </row>
    <row customHeight="1" ht="27" hidden="1">
      <c r="E72" s="2172" t="s">
        <v>221</v>
      </c>
      <c r="F72" s="2172"/>
      <c r="G72" s="2173"/>
      <c r="H72" s="2173"/>
      <c r="I72" s="2173"/>
      <c r="J72" s="2173"/>
      <c r="K72" s="2173"/>
      <c r="L72" s="2173"/>
      <c r="M72" s="2173"/>
      <c r="N72" s="2173"/>
      <c r="O72" s="2173"/>
      <c r="P72" s="2173"/>
      <c r="Q72" s="2173"/>
      <c r="R72" s="2173"/>
      <c r="S72" s="2173"/>
      <c r="T72" s="2173"/>
      <c r="U72" s="2173"/>
      <c r="V72" s="2173"/>
      <c r="W72" s="2173"/>
      <c r="AR72" s="104">
        <v>0</v>
      </c>
    </row>
    <row customHeight="1" ht="17.25" hidden="1">
      <c r="E73" s="2172" t="s">
        <v>222</v>
      </c>
      <c r="F73" s="2172"/>
      <c r="G73" s="2173"/>
      <c r="H73" s="2173"/>
      <c r="I73" s="2173"/>
      <c r="J73" s="2173"/>
      <c r="K73" s="2173"/>
      <c r="L73" s="2173"/>
      <c r="M73" s="2173"/>
      <c r="N73" s="2173"/>
      <c r="O73" s="2173"/>
      <c r="P73" s="2173"/>
      <c r="Q73" s="2173"/>
      <c r="R73" s="2173"/>
      <c r="S73" s="2173"/>
      <c r="T73" s="2173"/>
      <c r="U73" s="2173"/>
      <c r="V73" s="2173"/>
      <c r="W73" s="2173"/>
      <c r="AR73" s="104">
        <v>0</v>
      </c>
    </row>
    <row customHeight="1" ht="15" hidden="1">
      <c r="E74" s="340"/>
      <c r="F74" s="1285"/>
      <c r="G74" s="157"/>
      <c r="H74" s="157"/>
      <c r="I74" s="157"/>
      <c r="J74" s="157"/>
      <c r="K74" s="157"/>
      <c r="L74" s="157"/>
      <c r="M74" s="157"/>
      <c r="N74" s="157"/>
      <c r="O74" s="157"/>
      <c r="P74" s="157"/>
      <c r="Q74" s="157"/>
      <c r="R74" s="157"/>
      <c r="S74" s="157"/>
      <c r="T74" s="157"/>
      <c r="U74" s="157"/>
      <c r="V74" s="157"/>
      <c r="W74" s="157"/>
      <c r="AR74" s="104">
        <v>0</v>
      </c>
    </row>
    <row customHeight="1" ht="15" hidden="1">
      <c r="E75" s="2174" t="s">
        <v>223</v>
      </c>
      <c r="F75" s="2174"/>
      <c r="G75" s="2174"/>
      <c r="H75" s="2174"/>
      <c r="I75" s="2174"/>
      <c r="J75" s="2174"/>
      <c r="K75" s="2174"/>
      <c r="L75" s="2174"/>
      <c r="M75" s="2174"/>
      <c r="N75" s="2174"/>
      <c r="O75" s="2174"/>
      <c r="P75" s="2174"/>
      <c r="Q75" s="2174"/>
      <c r="R75" s="2174"/>
      <c r="S75" s="2174"/>
      <c r="T75" s="2174"/>
      <c r="U75" s="2174"/>
      <c r="V75" s="2174"/>
      <c r="W75" s="2174"/>
      <c r="AR75" s="104">
        <v>0</v>
      </c>
    </row>
    <row customHeight="1" ht="17.25" hidden="1">
      <c r="E76" s="2172" t="s">
        <v>224</v>
      </c>
      <c r="F76" s="2172"/>
      <c r="G76" s="2173"/>
      <c r="H76" s="2173"/>
      <c r="I76" s="2173"/>
      <c r="J76" s="2173"/>
      <c r="K76" s="2173"/>
      <c r="L76" s="2173"/>
      <c r="M76" s="2173"/>
      <c r="N76" s="2173"/>
      <c r="O76" s="2173"/>
      <c r="P76" s="2173"/>
      <c r="Q76" s="2173"/>
      <c r="R76" s="2173"/>
      <c r="S76" s="2173"/>
      <c r="T76" s="2173"/>
      <c r="U76" s="2173"/>
      <c r="V76" s="2173"/>
      <c r="W76" s="2173"/>
      <c r="AR76" s="104">
        <v>0</v>
      </c>
    </row>
    <row customHeight="1" ht="17.25" hidden="1">
      <c r="E77" s="2172" t="s">
        <v>225</v>
      </c>
      <c r="F77" s="2172"/>
      <c r="G77" s="2173"/>
      <c r="H77" s="2173"/>
      <c r="I77" s="2173"/>
      <c r="J77" s="2173"/>
      <c r="K77" s="2173"/>
      <c r="L77" s="2173"/>
      <c r="M77" s="2173"/>
      <c r="N77" s="2173"/>
      <c r="O77" s="2173"/>
      <c r="P77" s="2173"/>
      <c r="Q77" s="2173"/>
      <c r="R77" s="2173"/>
      <c r="S77" s="2173"/>
      <c r="T77" s="2173"/>
      <c r="U77" s="2173"/>
      <c r="V77" s="2173"/>
      <c r="W77" s="2173"/>
      <c r="AR77" s="104">
        <v>0</v>
      </c>
    </row>
    <row s="1853" customFormat="1" customHeight="1" ht="11.25" hidden="1">
      <c r="A78" s="277"/>
      <c r="B78" s="277"/>
      <c r="Y78" s="1259"/>
      <c r="Z78" s="1259"/>
      <c r="AA78" s="1259"/>
      <c r="AB78" s="1259"/>
      <c r="AC78" s="1259"/>
      <c r="AD78" s="1259"/>
      <c r="AE78" s="1259"/>
      <c r="AF78" s="1259"/>
      <c r="AG78" s="1259"/>
      <c r="AH78" s="1259"/>
      <c r="AI78" s="1259"/>
      <c r="AJ78" s="1259"/>
      <c r="AK78" s="1259"/>
      <c r="AL78" s="1259"/>
      <c r="AM78" s="1259"/>
      <c r="AN78" s="1259"/>
      <c r="AO78" s="1259"/>
      <c r="AP78" s="1259"/>
      <c r="AQ78" s="1259"/>
      <c r="AR78" s="1350">
        <v>0</v>
      </c>
    </row>
    <row s="1853" customFormat="1" customHeight="1" ht="17.25" hidden="1">
      <c r="A79" s="321"/>
      <c r="C79" s="209"/>
      <c r="D79" s="2135">
        <v>1</v>
      </c>
      <c r="E79" s="2143" t="s">
        <v>226</v>
      </c>
      <c r="F79" s="2145" t="s">
        <v>19</v>
      </c>
      <c r="G79" s="2143"/>
      <c r="H79" s="2148"/>
      <c r="I79" s="2150"/>
      <c r="J79" s="2152"/>
      <c r="K79" s="2137"/>
      <c r="L79" s="2137"/>
      <c r="M79" s="2137"/>
      <c r="N79" s="2139"/>
      <c r="O79" s="2137"/>
      <c r="P79" s="2137"/>
      <c r="Q79" s="2137"/>
      <c r="R79" s="2142"/>
      <c r="S79" s="2137"/>
      <c r="T79" s="1470"/>
      <c r="U79" s="1470"/>
      <c r="V79" s="1472"/>
      <c r="W79" s="1296"/>
      <c r="Y79" s="1267"/>
      <c r="Z79" s="1267"/>
      <c r="AA79" s="1267"/>
      <c r="AB79" s="1267"/>
      <c r="AC79" s="1267" t="s">
        <v>227</v>
      </c>
      <c r="AD79" s="1267" t="s">
        <v>228</v>
      </c>
      <c r="AE79" s="1267" t="s">
        <v>229</v>
      </c>
      <c r="AF79" s="1267" t="s">
        <v>230</v>
      </c>
      <c r="AG79" s="1267"/>
      <c r="AH79" s="1267" t="str">
        <f>IF($E$79=0,"",$E$79)</f>
        <v>Тариф на питьевую воду (питьевое водоснабжение)</v>
      </c>
      <c r="AI79" s="1267" t="str">
        <f>IF($G$79=0,"",$G$79)</f>
        <v/>
      </c>
      <c r="AJ79" s="1267" t="str">
        <f>IF($J$79=0,"",$J$79)</f>
        <v/>
      </c>
      <c r="AK79" s="1267" t="str">
        <f>IF($K$79="нет","без дифференциации",IF($N$79=0,"",$N$79))</f>
        <v/>
      </c>
      <c r="AL79" s="1267" t="str">
        <f>IF($O$79="нет","без дифференциации",IF($R$79=0,"",$R$79))</f>
        <v/>
      </c>
      <c r="AM79" s="1267" t="str">
        <f>IF($S$79="нет","без дифференциации",IF($V$79=0,"",$V$79))</f>
        <v/>
      </c>
      <c r="AN79" s="1267">
        <f>$I$79</f>
        <v>0</v>
      </c>
      <c r="AO79" s="1267" t="str">
        <f>$I$79&amp;"."&amp;$M$79</f>
        <v>.</v>
      </c>
      <c r="AP79" s="1267" t="str">
        <f>$I$79&amp;"."&amp;$M$79&amp;"."&amp;$Q$79</f>
        <v>..</v>
      </c>
      <c r="AQ79" s="1267" t="str">
        <f>$I$79&amp;"."&amp;$M$79&amp;"."&amp;$Q$79&amp;"."&amp;$U$79</f>
        <v>...</v>
      </c>
      <c r="AR79" s="1350">
        <v>0</v>
      </c>
    </row>
    <row s="1853" customFormat="1" customHeight="1" ht="17.25" hidden="1">
      <c r="A80" s="321"/>
      <c r="C80" s="320"/>
      <c r="D80" s="2135"/>
      <c r="E80" s="2143"/>
      <c r="F80" s="2146"/>
      <c r="G80" s="2143"/>
      <c r="H80" s="2149"/>
      <c r="I80" s="2151"/>
      <c r="J80" s="2153"/>
      <c r="K80" s="2138"/>
      <c r="L80" s="2138"/>
      <c r="M80" s="2138"/>
      <c r="N80" s="2140"/>
      <c r="O80" s="2138"/>
      <c r="P80" s="2138"/>
      <c r="Q80" s="2138"/>
      <c r="R80" s="2141"/>
      <c r="S80" s="2138"/>
      <c r="T80" s="1297"/>
      <c r="U80" s="1297"/>
      <c r="V80" s="1297"/>
      <c r="W80" s="1298"/>
      <c r="Y80" s="1259"/>
      <c r="Z80" s="1259"/>
      <c r="AA80" s="1259"/>
      <c r="AB80" s="1259"/>
      <c r="AC80" s="1259"/>
      <c r="AD80" s="1259"/>
      <c r="AE80" s="1259"/>
      <c r="AF80" s="1259"/>
      <c r="AG80" s="1259"/>
      <c r="AH80" s="1259"/>
      <c r="AI80" s="1259"/>
      <c r="AJ80" s="1259"/>
      <c r="AK80" s="1259"/>
      <c r="AL80" s="1259"/>
      <c r="AM80" s="1259"/>
      <c r="AN80" s="1259"/>
      <c r="AO80" s="1259"/>
      <c r="AP80" s="1259"/>
      <c r="AQ80" s="1259"/>
      <c r="AR80" s="1350">
        <v>0</v>
      </c>
    </row>
    <row s="1853" customFormat="1" customHeight="1" ht="17.25" hidden="1">
      <c r="A81" s="321"/>
      <c r="C81" s="209"/>
      <c r="D81" s="2135"/>
      <c r="E81" s="2143"/>
      <c r="F81" s="2146"/>
      <c r="G81" s="2143"/>
      <c r="H81" s="2149"/>
      <c r="I81" s="2151"/>
      <c r="J81" s="2154"/>
      <c r="K81" s="2138"/>
      <c r="L81" s="2138"/>
      <c r="M81" s="2138"/>
      <c r="N81" s="2141"/>
      <c r="O81" s="2138"/>
      <c r="P81" s="1471"/>
      <c r="Q81" s="1297"/>
      <c r="R81" s="1297"/>
      <c r="S81" s="329"/>
      <c r="T81" s="329"/>
      <c r="U81" s="329"/>
      <c r="V81" s="329"/>
      <c r="W81" s="1298"/>
      <c r="Y81" s="1267"/>
      <c r="Z81" s="1267"/>
      <c r="AA81" s="1267"/>
      <c r="AB81" s="1267"/>
      <c r="AC81" s="1267"/>
      <c r="AD81" s="1267"/>
      <c r="AE81" s="1267"/>
      <c r="AF81" s="1267"/>
      <c r="AG81" s="1267"/>
      <c r="AH81" s="1267"/>
      <c r="AI81" s="1267"/>
      <c r="AJ81" s="1267"/>
      <c r="AK81" s="1267"/>
      <c r="AL81" s="1267"/>
      <c r="AM81" s="1267"/>
      <c r="AN81" s="1267"/>
      <c r="AO81" s="1267"/>
      <c r="AP81" s="1267"/>
      <c r="AQ81" s="1267"/>
      <c r="AR81" s="1441">
        <v>0</v>
      </c>
    </row>
    <row s="1853" customFormat="1" customHeight="1" ht="17.25" hidden="1">
      <c r="A82" s="321"/>
      <c r="C82" s="320"/>
      <c r="D82" s="2135"/>
      <c r="E82" s="2143"/>
      <c r="F82" s="2146"/>
      <c r="G82" s="2143"/>
      <c r="H82" s="2149"/>
      <c r="I82" s="2151"/>
      <c r="J82" s="2154"/>
      <c r="K82" s="2138"/>
      <c r="L82" s="1297"/>
      <c r="M82" s="1297"/>
      <c r="N82" s="1297"/>
      <c r="O82" s="1297"/>
      <c r="P82" s="1297"/>
      <c r="Q82" s="1297"/>
      <c r="R82" s="1297"/>
      <c r="S82" s="329"/>
      <c r="T82" s="329"/>
      <c r="U82" s="329"/>
      <c r="V82" s="329"/>
      <c r="W82" s="1298"/>
      <c r="Y82" s="1259"/>
      <c r="Z82" s="1259"/>
      <c r="AA82" s="1259"/>
      <c r="AB82" s="1259"/>
      <c r="AC82" s="1259"/>
      <c r="AD82" s="1259"/>
      <c r="AE82" s="1259"/>
      <c r="AF82" s="1259"/>
      <c r="AG82" s="1259"/>
      <c r="AH82" s="1259"/>
      <c r="AI82" s="1259"/>
      <c r="AJ82" s="1259"/>
      <c r="AK82" s="1259"/>
      <c r="AL82" s="1259"/>
      <c r="AM82" s="1259"/>
      <c r="AN82" s="1259"/>
      <c r="AO82" s="1259"/>
      <c r="AP82" s="1259"/>
      <c r="AQ82" s="1259"/>
      <c r="AR82" s="1441">
        <v>0</v>
      </c>
    </row>
    <row s="1853" customFormat="1" customHeight="1" ht="17.25" hidden="1">
      <c r="A83" s="321"/>
      <c r="C83" s="320"/>
      <c r="D83" s="2136"/>
      <c r="E83" s="2144"/>
      <c r="F83" s="2147"/>
      <c r="G83" s="2144"/>
      <c r="H83" s="1299"/>
      <c r="I83" s="1300"/>
      <c r="J83" s="1300"/>
      <c r="K83" s="1300"/>
      <c r="L83" s="1300"/>
      <c r="M83" s="1300"/>
      <c r="N83" s="1300"/>
      <c r="O83" s="1300"/>
      <c r="P83" s="1300"/>
      <c r="Q83" s="1300"/>
      <c r="R83" s="1300"/>
      <c r="S83" s="1301"/>
      <c r="T83" s="1301"/>
      <c r="U83" s="1301"/>
      <c r="V83" s="1301"/>
      <c r="W83" s="1302"/>
      <c r="Y83" s="1259"/>
      <c r="Z83" s="1259"/>
      <c r="AA83" s="1259"/>
      <c r="AB83" s="1259"/>
      <c r="AC83" s="1259"/>
      <c r="AD83" s="1259"/>
      <c r="AE83" s="1259"/>
      <c r="AF83" s="1259"/>
      <c r="AG83" s="1259"/>
      <c r="AH83" s="1259"/>
      <c r="AI83" s="1259"/>
      <c r="AJ83" s="1259"/>
      <c r="AK83" s="1259"/>
      <c r="AL83" s="1259"/>
      <c r="AM83" s="1259"/>
      <c r="AN83" s="1259"/>
      <c r="AO83" s="1259"/>
      <c r="AP83" s="1259"/>
      <c r="AQ83" s="1259"/>
      <c r="AR83" s="1350">
        <v>0</v>
      </c>
    </row>
    <row s="1853" customFormat="1" customHeight="1" ht="17.25" hidden="1">
      <c r="A84" s="321"/>
      <c r="C84" s="209"/>
      <c r="D84" s="2135">
        <v>2</v>
      </c>
      <c r="E84" s="2143" t="s">
        <v>231</v>
      </c>
      <c r="F84" s="2145" t="s">
        <v>19</v>
      </c>
      <c r="G84" s="2143"/>
      <c r="H84" s="2148"/>
      <c r="I84" s="2150"/>
      <c r="J84" s="2152"/>
      <c r="K84" s="2137"/>
      <c r="L84" s="2137"/>
      <c r="M84" s="2137"/>
      <c r="N84" s="2139"/>
      <c r="O84" s="2137"/>
      <c r="P84" s="2137"/>
      <c r="Q84" s="2137"/>
      <c r="R84" s="2142"/>
      <c r="S84" s="2137"/>
      <c r="T84" s="1443"/>
      <c r="U84" s="1443"/>
      <c r="V84" s="1445"/>
      <c r="W84" s="1296"/>
      <c r="X84" s="1267"/>
      <c r="Y84" s="1267"/>
      <c r="Z84" s="1267"/>
      <c r="AA84" s="1267"/>
      <c r="AB84" s="1267"/>
      <c r="AC84" s="1267" t="s">
        <v>232</v>
      </c>
      <c r="AD84" s="1267" t="s">
        <v>233</v>
      </c>
      <c r="AE84" s="1267" t="s">
        <v>234</v>
      </c>
      <c r="AF84" s="1267" t="s">
        <v>235</v>
      </c>
      <c r="AG84" s="1267"/>
      <c r="AH84" s="1267" t="str">
        <f>IF($E$84=0,"",$E$84)</f>
        <v>Тариф на техническую воду</v>
      </c>
      <c r="AI84" s="1267" t="str">
        <f>IF($G$84=0,"",$G$84)</f>
        <v/>
      </c>
      <c r="AJ84" s="1267" t="str">
        <f>IF($J$84=0,"",$J$84)</f>
        <v/>
      </c>
      <c r="AK84" s="1267" t="str">
        <f>IF($K$84="нет","без дифференциации",IF($N$84=0,"",$N$84))</f>
        <v/>
      </c>
      <c r="AL84" s="1267" t="str">
        <f>IF($O$84="нет","без дифференциации",IF($R$84=0,"",$R$84))</f>
        <v/>
      </c>
      <c r="AM84" s="1267" t="str">
        <f>IF($S$84="нет","без дифференциации",IF($V$84=0,"",$V$84))</f>
        <v/>
      </c>
      <c r="AN84" s="1772">
        <f>$I$84</f>
        <v>0</v>
      </c>
      <c r="AO84" s="1267" t="str">
        <f>$I$84&amp;"."&amp;$M$84</f>
        <v>.</v>
      </c>
      <c r="AP84" s="1259" t="str">
        <f>$I$84&amp;"."&amp;$M$84&amp;"."&amp;$Q$84</f>
        <v>..</v>
      </c>
      <c r="AQ84" s="1259" t="str">
        <f>$I$84&amp;"."&amp;$M$84&amp;"."&amp;$Q$84&amp;"."&amp;$U$84</f>
        <v>...</v>
      </c>
      <c r="AR84" s="1350">
        <v>0</v>
      </c>
    </row>
    <row s="1853" customFormat="1" customHeight="1" ht="17.25" hidden="1">
      <c r="A85" s="321"/>
      <c r="C85" s="320"/>
      <c r="D85" s="2135"/>
      <c r="E85" s="2143"/>
      <c r="F85" s="2146"/>
      <c r="G85" s="2143"/>
      <c r="H85" s="2149"/>
      <c r="I85" s="2151"/>
      <c r="J85" s="2153"/>
      <c r="K85" s="2138"/>
      <c r="L85" s="2138"/>
      <c r="M85" s="2138"/>
      <c r="N85" s="2140"/>
      <c r="O85" s="2138"/>
      <c r="P85" s="2138"/>
      <c r="Q85" s="2138"/>
      <c r="R85" s="2141"/>
      <c r="S85" s="2138"/>
      <c r="T85" s="1297"/>
      <c r="U85" s="1297"/>
      <c r="V85" s="1297"/>
      <c r="W85" s="1298"/>
      <c r="X85" s="1259"/>
      <c r="Y85" s="1259"/>
      <c r="Z85" s="1259"/>
      <c r="AA85" s="1259"/>
      <c r="AB85" s="1259"/>
      <c r="AC85" s="1259"/>
      <c r="AD85" s="1259"/>
      <c r="AE85" s="1259"/>
      <c r="AF85" s="1259"/>
      <c r="AG85" s="1259"/>
      <c r="AH85" s="1259"/>
      <c r="AI85" s="1259"/>
      <c r="AJ85" s="1259"/>
      <c r="AK85" s="1259"/>
      <c r="AL85" s="1259"/>
      <c r="AM85" s="1259"/>
      <c r="AN85" s="1259"/>
      <c r="AO85" s="1259"/>
      <c r="AP85" s="1259"/>
      <c r="AQ85" s="1259"/>
      <c r="AR85" s="1350">
        <v>0</v>
      </c>
    </row>
    <row s="1853" customFormat="1" customHeight="1" ht="17.25" hidden="1">
      <c r="A86" s="321"/>
      <c r="C86" s="320"/>
      <c r="D86" s="2136"/>
      <c r="E86" s="2144"/>
      <c r="F86" s="2146"/>
      <c r="G86" s="2144"/>
      <c r="H86" s="2149"/>
      <c r="I86" s="2151"/>
      <c r="J86" s="2154"/>
      <c r="K86" s="2138"/>
      <c r="L86" s="2138"/>
      <c r="M86" s="2138"/>
      <c r="N86" s="2141"/>
      <c r="O86" s="2138"/>
      <c r="P86" s="1444"/>
      <c r="Q86" s="1297"/>
      <c r="R86" s="1297"/>
      <c r="S86" s="329"/>
      <c r="T86" s="329"/>
      <c r="U86" s="329"/>
      <c r="V86" s="329"/>
      <c r="W86" s="1298"/>
      <c r="X86" s="1259"/>
      <c r="Y86" s="1259"/>
      <c r="Z86" s="1259"/>
      <c r="AA86" s="1259"/>
      <c r="AB86" s="1259"/>
      <c r="AC86" s="1259"/>
      <c r="AD86" s="1259"/>
      <c r="AE86" s="1259"/>
      <c r="AF86" s="1259"/>
      <c r="AG86" s="1259"/>
      <c r="AH86" s="1259"/>
      <c r="AI86" s="1259"/>
      <c r="AJ86" s="1259"/>
      <c r="AK86" s="1259"/>
      <c r="AL86" s="1259"/>
      <c r="AM86" s="1259"/>
      <c r="AN86" s="1259"/>
      <c r="AO86" s="1259"/>
      <c r="AP86" s="1259"/>
      <c r="AQ86" s="1259"/>
      <c r="AR86" s="1350">
        <v>0</v>
      </c>
    </row>
    <row s="1853" customFormat="1" customHeight="1" ht="17.25" hidden="1">
      <c r="A87" s="321"/>
      <c r="C87" s="320"/>
      <c r="D87" s="2136"/>
      <c r="E87" s="2144"/>
      <c r="F87" s="2146"/>
      <c r="G87" s="2144"/>
      <c r="H87" s="2149"/>
      <c r="I87" s="2151"/>
      <c r="J87" s="2154"/>
      <c r="K87" s="2138"/>
      <c r="L87" s="1297"/>
      <c r="M87" s="1297"/>
      <c r="N87" s="1297"/>
      <c r="O87" s="1297"/>
      <c r="P87" s="1297"/>
      <c r="Q87" s="1297"/>
      <c r="R87" s="1297"/>
      <c r="S87" s="329"/>
      <c r="T87" s="329"/>
      <c r="U87" s="329"/>
      <c r="V87" s="329"/>
      <c r="W87" s="1298"/>
      <c r="X87" s="1259"/>
      <c r="Y87" s="1259"/>
      <c r="Z87" s="1259"/>
      <c r="AA87" s="1259"/>
      <c r="AB87" s="1259"/>
      <c r="AC87" s="1259"/>
      <c r="AD87" s="1259"/>
      <c r="AE87" s="1259"/>
      <c r="AF87" s="1259"/>
      <c r="AG87" s="1259"/>
      <c r="AH87" s="1259"/>
      <c r="AI87" s="1259"/>
      <c r="AJ87" s="1259"/>
      <c r="AK87" s="1259"/>
      <c r="AL87" s="1259"/>
      <c r="AM87" s="1259"/>
      <c r="AN87" s="1259"/>
      <c r="AO87" s="1259"/>
      <c r="AP87" s="1259"/>
      <c r="AQ87" s="1259"/>
      <c r="AR87" s="1350">
        <v>0</v>
      </c>
    </row>
    <row s="1853" customFormat="1" customHeight="1" ht="17.25" hidden="1">
      <c r="A88" s="321"/>
      <c r="C88" s="320"/>
      <c r="D88" s="2136"/>
      <c r="E88" s="2144"/>
      <c r="F88" s="2147"/>
      <c r="G88" s="2144"/>
      <c r="H88" s="1299"/>
      <c r="I88" s="1300"/>
      <c r="J88" s="1300"/>
      <c r="K88" s="1300"/>
      <c r="L88" s="1300"/>
      <c r="M88" s="1300"/>
      <c r="N88" s="1300"/>
      <c r="O88" s="1300"/>
      <c r="P88" s="1300"/>
      <c r="Q88" s="1300"/>
      <c r="R88" s="1300"/>
      <c r="S88" s="1301"/>
      <c r="T88" s="1301"/>
      <c r="U88" s="1301"/>
      <c r="V88" s="1301"/>
      <c r="W88" s="1302"/>
      <c r="X88" s="1259"/>
      <c r="Y88" s="1259"/>
      <c r="Z88" s="1259"/>
      <c r="AA88" s="1259"/>
      <c r="AB88" s="1259"/>
      <c r="AC88" s="1259"/>
      <c r="AD88" s="1259"/>
      <c r="AE88" s="1259"/>
      <c r="AF88" s="1259"/>
      <c r="AG88" s="1259"/>
      <c r="AH88" s="1259"/>
      <c r="AI88" s="1259"/>
      <c r="AJ88" s="1259"/>
      <c r="AK88" s="1259"/>
      <c r="AL88" s="1259"/>
      <c r="AM88" s="1259"/>
      <c r="AN88" s="1259"/>
      <c r="AO88" s="1259"/>
      <c r="AP88" s="1259"/>
      <c r="AQ88" s="1259"/>
      <c r="AR88" s="1350">
        <v>0</v>
      </c>
    </row>
    <row s="1853" customFormat="1" customHeight="1" ht="17.25" hidden="1">
      <c r="A89" s="321"/>
      <c r="C89" s="209"/>
      <c r="D89" s="2135">
        <v>3</v>
      </c>
      <c r="E89" s="2143" t="s">
        <v>236</v>
      </c>
      <c r="F89" s="2145" t="s">
        <v>19</v>
      </c>
      <c r="G89" s="2143"/>
      <c r="H89" s="2148"/>
      <c r="I89" s="2150"/>
      <c r="J89" s="2152"/>
      <c r="K89" s="2137"/>
      <c r="L89" s="2137"/>
      <c r="M89" s="2137"/>
      <c r="N89" s="2139"/>
      <c r="O89" s="2137"/>
      <c r="P89" s="2137"/>
      <c r="Q89" s="2137"/>
      <c r="R89" s="2142"/>
      <c r="S89" s="2137"/>
      <c r="T89" s="1443"/>
      <c r="U89" s="1443"/>
      <c r="V89" s="1445"/>
      <c r="W89" s="1296"/>
      <c r="X89" s="1267"/>
      <c r="Y89" s="1267"/>
      <c r="Z89" s="1267"/>
      <c r="AA89" s="1267"/>
      <c r="AB89" s="1267"/>
      <c r="AC89" s="1267" t="s">
        <v>237</v>
      </c>
      <c r="AD89" s="1267" t="s">
        <v>238</v>
      </c>
      <c r="AE89" s="1267" t="s">
        <v>239</v>
      </c>
      <c r="AF89" s="1267" t="s">
        <v>240</v>
      </c>
      <c r="AG89" s="1267"/>
      <c r="AH89" s="1267" t="str">
        <f>IF($E$89=0,"",$E$89)</f>
        <v>Тариф на транспортировку воды</v>
      </c>
      <c r="AI89" s="1267" t="str">
        <f>IF($G$89=0,"",$G$89)</f>
        <v/>
      </c>
      <c r="AJ89" s="1267" t="str">
        <f>IF($J$89=0,"",$J$89)</f>
        <v/>
      </c>
      <c r="AK89" s="1267" t="str">
        <f>IF($K$89="нет","без дифференциации",IF($N$89=0,"",$N$89))</f>
        <v/>
      </c>
      <c r="AL89" s="1267" t="str">
        <f>IF($O$89="нет","без дифференциации",IF($R$89=0,"",$R$89))</f>
        <v/>
      </c>
      <c r="AM89" s="1267" t="str">
        <f>IF($S$89="нет","без дифференциации",IF($V$89=0,"",$V$89))</f>
        <v/>
      </c>
      <c r="AN89" s="1772">
        <f>$I$89</f>
        <v>0</v>
      </c>
      <c r="AO89" s="1267" t="str">
        <f>$I$89&amp;"."&amp;$M$89</f>
        <v>.</v>
      </c>
      <c r="AP89" s="1259" t="str">
        <f>$I$89&amp;"."&amp;$M$89&amp;"."&amp;$Q$89</f>
        <v>..</v>
      </c>
      <c r="AQ89" s="1259" t="str">
        <f>$I$89&amp;"."&amp;$M$89&amp;"."&amp;$Q$89&amp;"."&amp;$U$89</f>
        <v>...</v>
      </c>
      <c r="AR89" s="1350">
        <v>0</v>
      </c>
    </row>
    <row s="1853" customFormat="1" customHeight="1" ht="17.25" hidden="1">
      <c r="A90" s="321"/>
      <c r="C90" s="320"/>
      <c r="D90" s="2135"/>
      <c r="E90" s="2143"/>
      <c r="F90" s="2146"/>
      <c r="G90" s="2143"/>
      <c r="H90" s="2149"/>
      <c r="I90" s="2151"/>
      <c r="J90" s="2153"/>
      <c r="K90" s="2138"/>
      <c r="L90" s="2138"/>
      <c r="M90" s="2138"/>
      <c r="N90" s="2140"/>
      <c r="O90" s="2138"/>
      <c r="P90" s="2138"/>
      <c r="Q90" s="2138"/>
      <c r="R90" s="2141"/>
      <c r="S90" s="2138"/>
      <c r="T90" s="1297"/>
      <c r="U90" s="1297"/>
      <c r="V90" s="1297"/>
      <c r="W90" s="1298"/>
      <c r="X90" s="1259"/>
      <c r="Y90" s="1259"/>
      <c r="Z90" s="1259"/>
      <c r="AA90" s="1259"/>
      <c r="AB90" s="1259"/>
      <c r="AC90" s="1259"/>
      <c r="AD90" s="1259"/>
      <c r="AE90" s="1259"/>
      <c r="AF90" s="1259"/>
      <c r="AG90" s="1259"/>
      <c r="AH90" s="1259"/>
      <c r="AI90" s="1259"/>
      <c r="AJ90" s="1259"/>
      <c r="AK90" s="1259"/>
      <c r="AL90" s="1259"/>
      <c r="AM90" s="1259"/>
      <c r="AN90" s="1259"/>
      <c r="AO90" s="1259"/>
      <c r="AP90" s="1259"/>
      <c r="AQ90" s="1259"/>
      <c r="AR90" s="1350">
        <v>0</v>
      </c>
    </row>
    <row s="1853" customFormat="1" customHeight="1" ht="17.25" hidden="1">
      <c r="A91" s="321"/>
      <c r="C91" s="320"/>
      <c r="D91" s="2136"/>
      <c r="E91" s="2144"/>
      <c r="F91" s="2146"/>
      <c r="G91" s="2144"/>
      <c r="H91" s="2149"/>
      <c r="I91" s="2151"/>
      <c r="J91" s="2154"/>
      <c r="K91" s="2138"/>
      <c r="L91" s="2138"/>
      <c r="M91" s="2138"/>
      <c r="N91" s="2141"/>
      <c r="O91" s="2138"/>
      <c r="P91" s="1444"/>
      <c r="Q91" s="1297"/>
      <c r="R91" s="1297"/>
      <c r="S91" s="329"/>
      <c r="T91" s="329"/>
      <c r="U91" s="329"/>
      <c r="V91" s="329"/>
      <c r="W91" s="1298"/>
      <c r="X91" s="1259"/>
      <c r="Y91" s="1259"/>
      <c r="Z91" s="1259"/>
      <c r="AA91" s="1259"/>
      <c r="AB91" s="1259"/>
      <c r="AC91" s="1259"/>
      <c r="AD91" s="1259"/>
      <c r="AE91" s="1259"/>
      <c r="AF91" s="1259"/>
      <c r="AG91" s="1259"/>
      <c r="AH91" s="1259"/>
      <c r="AI91" s="1259"/>
      <c r="AJ91" s="1259"/>
      <c r="AK91" s="1259"/>
      <c r="AL91" s="1259"/>
      <c r="AM91" s="1259"/>
      <c r="AN91" s="1259"/>
      <c r="AO91" s="1259"/>
      <c r="AP91" s="1259"/>
      <c r="AQ91" s="1259"/>
      <c r="AR91" s="1350">
        <v>0</v>
      </c>
    </row>
    <row s="1853" customFormat="1" customHeight="1" ht="17.25" hidden="1">
      <c r="A92" s="321"/>
      <c r="C92" s="320"/>
      <c r="D92" s="2136"/>
      <c r="E92" s="2144"/>
      <c r="F92" s="2146"/>
      <c r="G92" s="2144"/>
      <c r="H92" s="2149"/>
      <c r="I92" s="2151"/>
      <c r="J92" s="2154"/>
      <c r="K92" s="2138"/>
      <c r="L92" s="1297"/>
      <c r="M92" s="1297"/>
      <c r="N92" s="1297"/>
      <c r="O92" s="1297"/>
      <c r="P92" s="1297"/>
      <c r="Q92" s="1297"/>
      <c r="R92" s="1297"/>
      <c r="S92" s="329"/>
      <c r="T92" s="329"/>
      <c r="U92" s="329"/>
      <c r="V92" s="329"/>
      <c r="W92" s="1298"/>
      <c r="X92" s="1259"/>
      <c r="Y92" s="1259"/>
      <c r="Z92" s="1259"/>
      <c r="AA92" s="1259"/>
      <c r="AB92" s="1259"/>
      <c r="AC92" s="1259"/>
      <c r="AD92" s="1259"/>
      <c r="AE92" s="1259"/>
      <c r="AF92" s="1259"/>
      <c r="AG92" s="1259"/>
      <c r="AH92" s="1259"/>
      <c r="AI92" s="1259"/>
      <c r="AJ92" s="1259"/>
      <c r="AK92" s="1259"/>
      <c r="AL92" s="1259"/>
      <c r="AM92" s="1259"/>
      <c r="AN92" s="1259"/>
      <c r="AO92" s="1259"/>
      <c r="AP92" s="1259"/>
      <c r="AQ92" s="1259"/>
      <c r="AR92" s="1350">
        <v>0</v>
      </c>
    </row>
    <row s="1853" customFormat="1" customHeight="1" ht="17.25" hidden="1">
      <c r="A93" s="321"/>
      <c r="C93" s="320"/>
      <c r="D93" s="2136"/>
      <c r="E93" s="2144"/>
      <c r="F93" s="2147"/>
      <c r="G93" s="2144"/>
      <c r="H93" s="1299"/>
      <c r="I93" s="1300"/>
      <c r="J93" s="1300"/>
      <c r="K93" s="1300"/>
      <c r="L93" s="1300"/>
      <c r="M93" s="1300"/>
      <c r="N93" s="1300"/>
      <c r="O93" s="1300"/>
      <c r="P93" s="1300"/>
      <c r="Q93" s="1300"/>
      <c r="R93" s="1300"/>
      <c r="S93" s="1301"/>
      <c r="T93" s="1301"/>
      <c r="U93" s="1301"/>
      <c r="V93" s="1301"/>
      <c r="W93" s="1302"/>
      <c r="X93" s="1259"/>
      <c r="Y93" s="1259"/>
      <c r="Z93" s="1259"/>
      <c r="AA93" s="1259"/>
      <c r="AB93" s="1259"/>
      <c r="AC93" s="1259"/>
      <c r="AD93" s="1259"/>
      <c r="AE93" s="1259"/>
      <c r="AF93" s="1259"/>
      <c r="AG93" s="1259"/>
      <c r="AH93" s="1259"/>
      <c r="AI93" s="1259"/>
      <c r="AJ93" s="1259"/>
      <c r="AK93" s="1259"/>
      <c r="AL93" s="1259"/>
      <c r="AM93" s="1259"/>
      <c r="AN93" s="1259"/>
      <c r="AO93" s="1259"/>
      <c r="AP93" s="1259"/>
      <c r="AQ93" s="1259"/>
      <c r="AR93" s="1350">
        <v>0</v>
      </c>
    </row>
    <row s="1853" customFormat="1" customHeight="1" ht="17.25" hidden="1">
      <c r="A94" s="321"/>
      <c r="C94" s="209"/>
      <c r="D94" s="2135">
        <v>4</v>
      </c>
      <c r="E94" s="2143" t="s">
        <v>241</v>
      </c>
      <c r="F94" s="2145" t="s">
        <v>19</v>
      </c>
      <c r="G94" s="2143"/>
      <c r="H94" s="2148"/>
      <c r="I94" s="2150"/>
      <c r="J94" s="2152"/>
      <c r="K94" s="2137"/>
      <c r="L94" s="2137"/>
      <c r="M94" s="2137"/>
      <c r="N94" s="2139"/>
      <c r="O94" s="2137"/>
      <c r="P94" s="2137"/>
      <c r="Q94" s="2137"/>
      <c r="R94" s="2142"/>
      <c r="S94" s="2137"/>
      <c r="T94" s="1443"/>
      <c r="U94" s="1443"/>
      <c r="V94" s="1445"/>
      <c r="W94" s="1296"/>
      <c r="X94" s="1267"/>
      <c r="Y94" s="1267"/>
      <c r="Z94" s="1267"/>
      <c r="AA94" s="1267"/>
      <c r="AB94" s="1267"/>
      <c r="AC94" s="1267" t="s">
        <v>242</v>
      </c>
      <c r="AD94" s="1267" t="s">
        <v>243</v>
      </c>
      <c r="AE94" s="1267" t="s">
        <v>244</v>
      </c>
      <c r="AF94" s="1267" t="s">
        <v>245</v>
      </c>
      <c r="AG94" s="1267"/>
      <c r="AH94" s="1267" t="str">
        <f>IF($E$94=0,"",$E$94)</f>
        <v>Тариф на подвоз воды</v>
      </c>
      <c r="AI94" s="1267" t="str">
        <f>IF($G$94=0,"",$G$94)</f>
        <v/>
      </c>
      <c r="AJ94" s="1267" t="str">
        <f>IF($J$94=0,"",$J$94)</f>
        <v/>
      </c>
      <c r="AK94" s="1267" t="str">
        <f>IF($K$94="нет","без дифференциации",IF($N$94=0,"",$N$94))</f>
        <v/>
      </c>
      <c r="AL94" s="1267" t="str">
        <f>IF($O$94="нет","без дифференциации",IF($R$94=0,"",$R$94))</f>
        <v/>
      </c>
      <c r="AM94" s="1267" t="str">
        <f>IF($S$94="нет","без дифференциации",IF($V$94=0,"",$V$94))</f>
        <v/>
      </c>
      <c r="AN94" s="1772">
        <f>$I$94</f>
        <v>0</v>
      </c>
      <c r="AO94" s="1267" t="str">
        <f>$I$94&amp;"."&amp;$M$94</f>
        <v>.</v>
      </c>
      <c r="AP94" s="1259" t="str">
        <f>$I$94&amp;"."&amp;$M$94&amp;"."&amp;$Q$94</f>
        <v>..</v>
      </c>
      <c r="AQ94" s="1259" t="str">
        <f>$I$94&amp;"."&amp;$M$94&amp;"."&amp;$Q$94&amp;"."&amp;$U$94</f>
        <v>...</v>
      </c>
      <c r="AR94" s="1350">
        <v>0</v>
      </c>
    </row>
    <row s="1853" customFormat="1" customHeight="1" ht="17.25" hidden="1">
      <c r="A95" s="321"/>
      <c r="C95" s="320"/>
      <c r="D95" s="2135"/>
      <c r="E95" s="2143"/>
      <c r="F95" s="2146"/>
      <c r="G95" s="2143"/>
      <c r="H95" s="2149"/>
      <c r="I95" s="2151"/>
      <c r="J95" s="2153"/>
      <c r="K95" s="2138"/>
      <c r="L95" s="2138"/>
      <c r="M95" s="2138"/>
      <c r="N95" s="2140"/>
      <c r="O95" s="2138"/>
      <c r="P95" s="2138"/>
      <c r="Q95" s="2138"/>
      <c r="R95" s="2141"/>
      <c r="S95" s="2138"/>
      <c r="T95" s="1297"/>
      <c r="U95" s="1297"/>
      <c r="V95" s="1297"/>
      <c r="W95" s="1298"/>
      <c r="X95" s="1259"/>
      <c r="Y95" s="1259"/>
      <c r="Z95" s="1259"/>
      <c r="AA95" s="1259"/>
      <c r="AB95" s="1259"/>
      <c r="AC95" s="1259"/>
      <c r="AD95" s="1259"/>
      <c r="AE95" s="1259"/>
      <c r="AF95" s="1259"/>
      <c r="AG95" s="1259"/>
      <c r="AH95" s="1259"/>
      <c r="AI95" s="1259"/>
      <c r="AJ95" s="1259"/>
      <c r="AK95" s="1259"/>
      <c r="AL95" s="1259"/>
      <c r="AM95" s="1259"/>
      <c r="AN95" s="1259"/>
      <c r="AO95" s="1259"/>
      <c r="AP95" s="1259"/>
      <c r="AQ95" s="1259"/>
      <c r="AR95" s="1350">
        <v>0</v>
      </c>
    </row>
    <row s="1853" customFormat="1" customHeight="1" ht="17.25" hidden="1">
      <c r="A96" s="321"/>
      <c r="C96" s="320"/>
      <c r="D96" s="2136"/>
      <c r="E96" s="2144"/>
      <c r="F96" s="2146"/>
      <c r="G96" s="2144"/>
      <c r="H96" s="2149"/>
      <c r="I96" s="2151"/>
      <c r="J96" s="2154"/>
      <c r="K96" s="2138"/>
      <c r="L96" s="2138"/>
      <c r="M96" s="2138"/>
      <c r="N96" s="2141"/>
      <c r="O96" s="2138"/>
      <c r="P96" s="1444"/>
      <c r="Q96" s="1297"/>
      <c r="R96" s="1297"/>
      <c r="S96" s="329"/>
      <c r="T96" s="329"/>
      <c r="U96" s="329"/>
      <c r="V96" s="329"/>
      <c r="W96" s="1298"/>
      <c r="X96" s="1259"/>
      <c r="Y96" s="1259"/>
      <c r="Z96" s="1259"/>
      <c r="AA96" s="1259"/>
      <c r="AB96" s="1259"/>
      <c r="AC96" s="1259"/>
      <c r="AD96" s="1259"/>
      <c r="AE96" s="1259"/>
      <c r="AF96" s="1259"/>
      <c r="AG96" s="1259"/>
      <c r="AH96" s="1259"/>
      <c r="AI96" s="1259"/>
      <c r="AJ96" s="1259"/>
      <c r="AK96" s="1259"/>
      <c r="AL96" s="1259"/>
      <c r="AM96" s="1259"/>
      <c r="AN96" s="1259"/>
      <c r="AO96" s="1259"/>
      <c r="AP96" s="1259"/>
      <c r="AQ96" s="1259"/>
      <c r="AR96" s="1350">
        <v>0</v>
      </c>
    </row>
    <row s="1853" customFormat="1" customHeight="1" ht="17.25" hidden="1">
      <c r="A97" s="321"/>
      <c r="C97" s="320"/>
      <c r="D97" s="2136"/>
      <c r="E97" s="2144"/>
      <c r="F97" s="2146"/>
      <c r="G97" s="2144"/>
      <c r="H97" s="2149"/>
      <c r="I97" s="2151"/>
      <c r="J97" s="2154"/>
      <c r="K97" s="2138"/>
      <c r="L97" s="1297"/>
      <c r="M97" s="1297"/>
      <c r="N97" s="1297"/>
      <c r="O97" s="1297"/>
      <c r="P97" s="1297"/>
      <c r="Q97" s="1297"/>
      <c r="R97" s="1297"/>
      <c r="S97" s="329"/>
      <c r="T97" s="329"/>
      <c r="U97" s="329"/>
      <c r="V97" s="329"/>
      <c r="W97" s="1298"/>
      <c r="X97" s="1259"/>
      <c r="Y97" s="1259"/>
      <c r="Z97" s="1259"/>
      <c r="AA97" s="1259"/>
      <c r="AB97" s="1259"/>
      <c r="AC97" s="1259"/>
      <c r="AD97" s="1259"/>
      <c r="AE97" s="1259"/>
      <c r="AF97" s="1259"/>
      <c r="AG97" s="1259"/>
      <c r="AH97" s="1259"/>
      <c r="AI97" s="1259"/>
      <c r="AJ97" s="1259"/>
      <c r="AK97" s="1259"/>
      <c r="AL97" s="1259"/>
      <c r="AM97" s="1259"/>
      <c r="AN97" s="1259"/>
      <c r="AO97" s="1259"/>
      <c r="AP97" s="1259"/>
      <c r="AQ97" s="1259"/>
      <c r="AR97" s="1350">
        <v>0</v>
      </c>
    </row>
    <row s="1853" customFormat="1" customHeight="1" ht="17.25" hidden="1">
      <c r="A98" s="321"/>
      <c r="C98" s="320"/>
      <c r="D98" s="2136"/>
      <c r="E98" s="2144"/>
      <c r="F98" s="2147"/>
      <c r="G98" s="2144"/>
      <c r="H98" s="1299"/>
      <c r="I98" s="1300"/>
      <c r="J98" s="1300"/>
      <c r="K98" s="1300"/>
      <c r="L98" s="1300"/>
      <c r="M98" s="1300"/>
      <c r="N98" s="1300"/>
      <c r="O98" s="1300"/>
      <c r="P98" s="1300"/>
      <c r="Q98" s="1300"/>
      <c r="R98" s="1300"/>
      <c r="S98" s="1301"/>
      <c r="T98" s="1301"/>
      <c r="U98" s="1301"/>
      <c r="V98" s="1301"/>
      <c r="W98" s="1302"/>
      <c r="X98" s="1259"/>
      <c r="Y98" s="1259"/>
      <c r="Z98" s="1259"/>
      <c r="AA98" s="1259"/>
      <c r="AB98" s="1259"/>
      <c r="AC98" s="1259"/>
      <c r="AD98" s="1259"/>
      <c r="AE98" s="1259"/>
      <c r="AF98" s="1259"/>
      <c r="AG98" s="1259"/>
      <c r="AH98" s="1259"/>
      <c r="AI98" s="1259"/>
      <c r="AJ98" s="1259"/>
      <c r="AK98" s="1259"/>
      <c r="AL98" s="1259"/>
      <c r="AM98" s="1259"/>
      <c r="AN98" s="1259"/>
      <c r="AO98" s="1259"/>
      <c r="AP98" s="1259"/>
      <c r="AQ98" s="1259"/>
      <c r="AR98" s="1350">
        <v>0</v>
      </c>
    </row>
    <row s="1853" customFormat="1" customHeight="1" ht="17.25" hidden="1">
      <c r="A99" s="321"/>
      <c r="C99" s="209"/>
      <c r="D99" s="2135">
        <v>5</v>
      </c>
      <c r="E99" s="2143" t="s">
        <v>246</v>
      </c>
      <c r="F99" s="2145" t="s">
        <v>19</v>
      </c>
      <c r="G99" s="2143"/>
      <c r="H99" s="2148"/>
      <c r="I99" s="2150"/>
      <c r="J99" s="2152"/>
      <c r="K99" s="2137"/>
      <c r="L99" s="2137"/>
      <c r="M99" s="2137"/>
      <c r="N99" s="2139"/>
      <c r="O99" s="2137"/>
      <c r="P99" s="2137"/>
      <c r="Q99" s="2137"/>
      <c r="R99" s="2142"/>
      <c r="S99" s="2137"/>
      <c r="T99" s="1943"/>
      <c r="U99" s="1943"/>
      <c r="V99" s="1945"/>
      <c r="W99" s="1296"/>
      <c r="X99" s="1267"/>
      <c r="Y99" s="1267"/>
      <c r="Z99" s="1267"/>
      <c r="AA99" s="1267"/>
      <c r="AB99" s="1267"/>
      <c r="AC99" s="1267" t="s">
        <v>247</v>
      </c>
      <c r="AD99" s="1267" t="s">
        <v>248</v>
      </c>
      <c r="AE99" s="1267" t="s">
        <v>249</v>
      </c>
      <c r="AF99" s="1267" t="s">
        <v>250</v>
      </c>
      <c r="AG99" s="1267"/>
      <c r="AH99" s="1267" t="str">
        <f>IF($E$99=0,"",$E$99)</f>
        <v>Тариф на подключение (технологическое присоединение) к централизованной системе холодного водоснабжения</v>
      </c>
      <c r="AI99" s="1267" t="str">
        <f>IF($G$99=0,"",$G$99)</f>
        <v/>
      </c>
      <c r="AJ99" s="1267" t="str">
        <f>IF($J$99=0,"",$J$99)</f>
        <v/>
      </c>
      <c r="AK99" s="1267" t="str">
        <f>IF($K$99="нет","без дифференциации",IF($N$99=0,"",$N$99))</f>
        <v/>
      </c>
      <c r="AL99" s="1267" t="str">
        <f>IF($O$99="нет","без дифференциации",IF($R$99=0,"",$R$99))</f>
        <v/>
      </c>
      <c r="AM99" s="1267" t="str">
        <f>IF($S$99="нет","без дифференциации",IF($V$99=0,"",$V$99))</f>
        <v/>
      </c>
      <c r="AN99" s="1772">
        <f>$I$99</f>
        <v>0</v>
      </c>
      <c r="AO99" s="1267" t="str">
        <f>$I$99&amp;"."&amp;$M$99</f>
        <v>.</v>
      </c>
      <c r="AP99" s="1266" t="str">
        <f>$I$99&amp;"."&amp;$M$99&amp;"."&amp;$Q$99</f>
        <v>..</v>
      </c>
      <c r="AQ99" s="1266" t="str">
        <f>$I$99&amp;"."&amp;$M$99&amp;"."&amp;$Q$99&amp;"."&amp;$U$99</f>
        <v>...</v>
      </c>
      <c r="AR99" s="1467">
        <v>0</v>
      </c>
    </row>
    <row s="1853" customFormat="1" customHeight="1" ht="17.25" hidden="1">
      <c r="A100" s="321"/>
      <c r="C100" s="320"/>
      <c r="D100" s="2135"/>
      <c r="E100" s="2143"/>
      <c r="F100" s="2146"/>
      <c r="G100" s="2143"/>
      <c r="H100" s="2149"/>
      <c r="I100" s="2151"/>
      <c r="J100" s="2153"/>
      <c r="K100" s="2138"/>
      <c r="L100" s="2138"/>
      <c r="M100" s="2138"/>
      <c r="N100" s="2140"/>
      <c r="O100" s="2138"/>
      <c r="P100" s="2138"/>
      <c r="Q100" s="2138"/>
      <c r="R100" s="2141"/>
      <c r="S100" s="2138"/>
      <c r="T100" s="1948"/>
      <c r="U100" s="1948"/>
      <c r="V100" s="1948"/>
      <c r="W100" s="1949"/>
      <c r="X100" s="1266"/>
      <c r="Y100" s="1266"/>
      <c r="Z100" s="1266"/>
      <c r="AA100" s="1266"/>
      <c r="AB100" s="1266"/>
      <c r="AC100" s="1266"/>
      <c r="AD100" s="1266"/>
      <c r="AE100" s="1266"/>
      <c r="AF100" s="1266"/>
      <c r="AG100" s="1266"/>
      <c r="AH100" s="1266"/>
      <c r="AI100" s="1266"/>
      <c r="AJ100" s="1266"/>
      <c r="AK100" s="1266"/>
      <c r="AL100" s="1266"/>
      <c r="AM100" s="1266"/>
      <c r="AN100" s="1266"/>
      <c r="AO100" s="1266"/>
      <c r="AP100" s="1266"/>
      <c r="AQ100" s="1266"/>
      <c r="AR100" s="1467">
        <v>0</v>
      </c>
    </row>
    <row s="1853" customFormat="1" customHeight="1" ht="17.25" hidden="1">
      <c r="A101" s="321"/>
      <c r="C101" s="320"/>
      <c r="D101" s="2136"/>
      <c r="E101" s="2144"/>
      <c r="F101" s="2146"/>
      <c r="G101" s="2144"/>
      <c r="H101" s="2149"/>
      <c r="I101" s="2151"/>
      <c r="J101" s="2154"/>
      <c r="K101" s="2138"/>
      <c r="L101" s="2138"/>
      <c r="M101" s="2138"/>
      <c r="N101" s="2141"/>
      <c r="O101" s="2138"/>
      <c r="P101" s="1944"/>
      <c r="Q101" s="1948"/>
      <c r="R101" s="1948"/>
      <c r="S101" s="329"/>
      <c r="T101" s="329"/>
      <c r="U101" s="329"/>
      <c r="V101" s="329"/>
      <c r="W101" s="1949"/>
      <c r="X101" s="1266"/>
      <c r="Y101" s="1266"/>
      <c r="Z101" s="1266"/>
      <c r="AA101" s="1266"/>
      <c r="AB101" s="1266"/>
      <c r="AC101" s="1266"/>
      <c r="AD101" s="1266"/>
      <c r="AE101" s="1266"/>
      <c r="AF101" s="1266"/>
      <c r="AG101" s="1266"/>
      <c r="AH101" s="1266"/>
      <c r="AI101" s="1266"/>
      <c r="AJ101" s="1266"/>
      <c r="AK101" s="1266"/>
      <c r="AL101" s="1266"/>
      <c r="AM101" s="1266"/>
      <c r="AN101" s="1266"/>
      <c r="AO101" s="1266"/>
      <c r="AP101" s="1266"/>
      <c r="AQ101" s="1266"/>
      <c r="AR101" s="1467">
        <v>0</v>
      </c>
    </row>
    <row s="1853" customFormat="1" customHeight="1" ht="17.25" hidden="1">
      <c r="A102" s="321"/>
      <c r="C102" s="320"/>
      <c r="D102" s="2136"/>
      <c r="E102" s="2144"/>
      <c r="F102" s="2146"/>
      <c r="G102" s="2144"/>
      <c r="H102" s="2149"/>
      <c r="I102" s="2151"/>
      <c r="J102" s="2154"/>
      <c r="K102" s="2138"/>
      <c r="L102" s="1948"/>
      <c r="M102" s="1948"/>
      <c r="N102" s="1948"/>
      <c r="O102" s="1948"/>
      <c r="P102" s="1948"/>
      <c r="Q102" s="1948"/>
      <c r="R102" s="1948"/>
      <c r="S102" s="329"/>
      <c r="T102" s="329"/>
      <c r="U102" s="329"/>
      <c r="V102" s="329"/>
      <c r="W102" s="1949"/>
      <c r="X102" s="1266"/>
      <c r="Y102" s="1266"/>
      <c r="Z102" s="1266"/>
      <c r="AA102" s="1266"/>
      <c r="AB102" s="1266"/>
      <c r="AC102" s="1266"/>
      <c r="AD102" s="1266"/>
      <c r="AE102" s="1266"/>
      <c r="AF102" s="1266"/>
      <c r="AG102" s="1266"/>
      <c r="AH102" s="1266"/>
      <c r="AI102" s="1266"/>
      <c r="AJ102" s="1266"/>
      <c r="AK102" s="1266"/>
      <c r="AL102" s="1266"/>
      <c r="AM102" s="1266"/>
      <c r="AN102" s="1266"/>
      <c r="AO102" s="1266"/>
      <c r="AP102" s="1266"/>
      <c r="AQ102" s="1266"/>
      <c r="AR102" s="1467">
        <v>0</v>
      </c>
    </row>
    <row s="1853" customFormat="1" customHeight="1" ht="17.25" hidden="1">
      <c r="A103" s="321"/>
      <c r="C103" s="320"/>
      <c r="D103" s="2136"/>
      <c r="E103" s="2144"/>
      <c r="F103" s="2147"/>
      <c r="G103" s="2144"/>
      <c r="H103" s="1299"/>
      <c r="I103" s="1946"/>
      <c r="J103" s="1946"/>
      <c r="K103" s="1946"/>
      <c r="L103" s="1946"/>
      <c r="M103" s="1946"/>
      <c r="N103" s="1946"/>
      <c r="O103" s="1946"/>
      <c r="P103" s="1946"/>
      <c r="Q103" s="1946"/>
      <c r="R103" s="1946"/>
      <c r="S103" s="1301"/>
      <c r="T103" s="1301"/>
      <c r="U103" s="1301"/>
      <c r="V103" s="1301"/>
      <c r="W103" s="1947"/>
      <c r="X103" s="1266"/>
      <c r="Y103" s="1266"/>
      <c r="Z103" s="1266"/>
      <c r="AA103" s="1266"/>
      <c r="AB103" s="1266"/>
      <c r="AC103" s="1266"/>
      <c r="AD103" s="1266"/>
      <c r="AE103" s="1266"/>
      <c r="AF103" s="1266"/>
      <c r="AG103" s="1266"/>
      <c r="AH103" s="1266"/>
      <c r="AI103" s="1266"/>
      <c r="AJ103" s="1266"/>
      <c r="AK103" s="1266"/>
      <c r="AL103" s="1266"/>
      <c r="AM103" s="1266"/>
      <c r="AN103" s="1266"/>
      <c r="AO103" s="1266"/>
      <c r="AP103" s="1266"/>
      <c r="AQ103" s="1266"/>
      <c r="AR103" s="1467">
        <v>0</v>
      </c>
    </row>
    <row s="1853" customFormat="1" customHeight="1" ht="11.25" hidden="1">
      <c r="A104" s="277"/>
      <c r="B104" s="277"/>
      <c r="Y104" s="1259"/>
      <c r="Z104" s="1259"/>
      <c r="AA104" s="1259"/>
      <c r="AB104" s="1259"/>
      <c r="AC104" s="1259"/>
      <c r="AD104" s="1259"/>
      <c r="AE104" s="1259"/>
      <c r="AF104" s="1259"/>
      <c r="AG104" s="1259"/>
      <c r="AH104" s="1259"/>
      <c r="AI104" s="1259"/>
      <c r="AJ104" s="1259"/>
      <c r="AK104" s="1259"/>
      <c r="AL104" s="1259"/>
      <c r="AM104" s="1259"/>
      <c r="AN104" s="1259"/>
      <c r="AO104" s="1259"/>
      <c r="AP104" s="1259"/>
      <c r="AQ104" s="1259"/>
      <c r="AR104" s="1467">
        <v>0</v>
      </c>
    </row>
    <row s="1853" customFormat="1" customHeight="1" ht="17.25" hidden="1">
      <c r="A105" s="321"/>
      <c r="C105" s="209"/>
      <c r="D105" s="2135">
        <v>1</v>
      </c>
      <c r="E105" s="2143" t="s">
        <v>251</v>
      </c>
      <c r="F105" s="2145" t="s">
        <v>19</v>
      </c>
      <c r="G105" s="2143"/>
      <c r="H105" s="2148"/>
      <c r="I105" s="2150"/>
      <c r="J105" s="2152"/>
      <c r="K105" s="2137"/>
      <c r="L105" s="2137"/>
      <c r="M105" s="2137"/>
      <c r="N105" s="2139"/>
      <c r="O105" s="2137"/>
      <c r="P105" s="2137"/>
      <c r="Q105" s="2137"/>
      <c r="R105" s="2142"/>
      <c r="S105" s="2137"/>
      <c r="T105" s="1470"/>
      <c r="U105" s="1470"/>
      <c r="V105" s="1472"/>
      <c r="W105" s="1296"/>
      <c r="Y105" s="1267"/>
      <c r="Z105" s="1267"/>
      <c r="AA105" s="1267"/>
      <c r="AB105" s="1267"/>
      <c r="AC105" s="1267" t="s">
        <v>252</v>
      </c>
      <c r="AD105" s="1267" t="s">
        <v>253</v>
      </c>
      <c r="AE105" s="1267" t="s">
        <v>254</v>
      </c>
      <c r="AF105" s="1267" t="s">
        <v>255</v>
      </c>
      <c r="AG105" s="1267"/>
      <c r="AH105" s="1267" t="str">
        <f>IF($E$105=0,"",$E$105)</f>
        <v>Тариф на горячую воду (горячее водоснабжение)</v>
      </c>
      <c r="AI105" s="1267" t="str">
        <f>IF($G$105=0,"",$G$105)</f>
        <v/>
      </c>
      <c r="AJ105" s="1267" t="str">
        <f>IF($J$105=0,"",$J$105)</f>
        <v/>
      </c>
      <c r="AK105" s="1267" t="str">
        <f>IF($K$105="нет","без дифференциации",IF($N$105=0,"",$N$105))</f>
        <v/>
      </c>
      <c r="AL105" s="1267" t="str">
        <f>IF($O$105="нет","без дифференциации",IF($R$105=0,"",$R$105))</f>
        <v/>
      </c>
      <c r="AM105" s="1267" t="str">
        <f>IF($S$105="нет","без дифференциации",IF($V$105=0,"",$V$105))</f>
        <v/>
      </c>
      <c r="AN105" s="1267">
        <f>$I$105</f>
        <v>0</v>
      </c>
      <c r="AO105" s="1267" t="str">
        <f>$I$105&amp;"."&amp;$M$105</f>
        <v>.</v>
      </c>
      <c r="AP105" s="1267" t="str">
        <f>$I$105&amp;"."&amp;$M$105&amp;"."&amp;$Q$105</f>
        <v>..</v>
      </c>
      <c r="AQ105" s="1267" t="str">
        <f>$I$105&amp;"."&amp;$M$105&amp;"."&amp;$Q$105&amp;"."&amp;$U$105</f>
        <v>...</v>
      </c>
      <c r="AR105" s="1467">
        <v>0</v>
      </c>
    </row>
    <row s="1853" customFormat="1" customHeight="1" ht="17.25" hidden="1">
      <c r="A106" s="321"/>
      <c r="C106" s="320"/>
      <c r="D106" s="2135"/>
      <c r="E106" s="2143"/>
      <c r="F106" s="2146"/>
      <c r="G106" s="2143"/>
      <c r="H106" s="2149"/>
      <c r="I106" s="2151"/>
      <c r="J106" s="2153"/>
      <c r="K106" s="2138"/>
      <c r="L106" s="2138"/>
      <c r="M106" s="2138"/>
      <c r="N106" s="2140"/>
      <c r="O106" s="2138"/>
      <c r="P106" s="2138"/>
      <c r="Q106" s="2138"/>
      <c r="R106" s="2141"/>
      <c r="S106" s="2138"/>
      <c r="T106" s="1297"/>
      <c r="U106" s="1297"/>
      <c r="V106" s="1297"/>
      <c r="W106" s="1298"/>
      <c r="Y106" s="1259"/>
      <c r="Z106" s="1259"/>
      <c r="AA106" s="1259"/>
      <c r="AB106" s="1259"/>
      <c r="AC106" s="1259"/>
      <c r="AD106" s="1259"/>
      <c r="AE106" s="1259"/>
      <c r="AF106" s="1259"/>
      <c r="AG106" s="1259"/>
      <c r="AH106" s="1259"/>
      <c r="AI106" s="1259"/>
      <c r="AJ106" s="1259"/>
      <c r="AK106" s="1259"/>
      <c r="AL106" s="1259"/>
      <c r="AM106" s="1259"/>
      <c r="AN106" s="1259"/>
      <c r="AO106" s="1259"/>
      <c r="AP106" s="1259"/>
      <c r="AQ106" s="1259"/>
      <c r="AR106" s="1467">
        <v>0</v>
      </c>
    </row>
    <row s="1853" customFormat="1" customHeight="1" ht="17.25" hidden="1">
      <c r="A107" s="321"/>
      <c r="C107" s="209"/>
      <c r="D107" s="2135"/>
      <c r="E107" s="2143"/>
      <c r="F107" s="2146"/>
      <c r="G107" s="2143"/>
      <c r="H107" s="2149"/>
      <c r="I107" s="2151"/>
      <c r="J107" s="2154"/>
      <c r="K107" s="2138"/>
      <c r="L107" s="2138"/>
      <c r="M107" s="2138"/>
      <c r="N107" s="2141"/>
      <c r="O107" s="2138"/>
      <c r="P107" s="1471"/>
      <c r="Q107" s="1297"/>
      <c r="R107" s="1297"/>
      <c r="S107" s="329"/>
      <c r="T107" s="329"/>
      <c r="U107" s="329"/>
      <c r="V107" s="329"/>
      <c r="W107" s="1298"/>
      <c r="Y107" s="1267"/>
      <c r="Z107" s="1267"/>
      <c r="AA107" s="1267"/>
      <c r="AB107" s="1267"/>
      <c r="AC107" s="1267"/>
      <c r="AD107" s="1267"/>
      <c r="AE107" s="1267"/>
      <c r="AF107" s="1267"/>
      <c r="AG107" s="1267"/>
      <c r="AH107" s="1267"/>
      <c r="AI107" s="1267"/>
      <c r="AJ107" s="1267"/>
      <c r="AK107" s="1267"/>
      <c r="AL107" s="1267"/>
      <c r="AM107" s="1267"/>
      <c r="AN107" s="1267"/>
      <c r="AO107" s="1267"/>
      <c r="AP107" s="1267"/>
      <c r="AQ107" s="1267"/>
      <c r="AR107" s="1467">
        <v>0</v>
      </c>
    </row>
    <row s="1853" customFormat="1" customHeight="1" ht="17.25" hidden="1">
      <c r="A108" s="321"/>
      <c r="C108" s="320"/>
      <c r="D108" s="2135"/>
      <c r="E108" s="2143"/>
      <c r="F108" s="2146"/>
      <c r="G108" s="2143"/>
      <c r="H108" s="2149"/>
      <c r="I108" s="2151"/>
      <c r="J108" s="2154"/>
      <c r="K108" s="2138"/>
      <c r="L108" s="1297"/>
      <c r="M108" s="1297"/>
      <c r="N108" s="1297"/>
      <c r="O108" s="1297"/>
      <c r="P108" s="1297"/>
      <c r="Q108" s="1297"/>
      <c r="R108" s="1297"/>
      <c r="S108" s="329"/>
      <c r="T108" s="329"/>
      <c r="U108" s="329"/>
      <c r="V108" s="329"/>
      <c r="W108" s="1298"/>
      <c r="Y108" s="1259"/>
      <c r="Z108" s="1259"/>
      <c r="AA108" s="1259"/>
      <c r="AB108" s="1259"/>
      <c r="AC108" s="1259"/>
      <c r="AD108" s="1259"/>
      <c r="AE108" s="1259"/>
      <c r="AF108" s="1259"/>
      <c r="AG108" s="1259"/>
      <c r="AH108" s="1259"/>
      <c r="AI108" s="1259"/>
      <c r="AJ108" s="1259"/>
      <c r="AK108" s="1259"/>
      <c r="AL108" s="1259"/>
      <c r="AM108" s="1259"/>
      <c r="AN108" s="1259"/>
      <c r="AO108" s="1259"/>
      <c r="AP108" s="1259"/>
      <c r="AQ108" s="1259"/>
      <c r="AR108" s="1467">
        <v>0</v>
      </c>
    </row>
    <row s="1853" customFormat="1" customHeight="1" ht="17.25" hidden="1">
      <c r="A109" s="321"/>
      <c r="C109" s="320"/>
      <c r="D109" s="2136"/>
      <c r="E109" s="2144"/>
      <c r="F109" s="2147"/>
      <c r="G109" s="2144"/>
      <c r="H109" s="1299"/>
      <c r="I109" s="1300"/>
      <c r="J109" s="1300"/>
      <c r="K109" s="1300"/>
      <c r="L109" s="1300"/>
      <c r="M109" s="1300"/>
      <c r="N109" s="1300"/>
      <c r="O109" s="1300"/>
      <c r="P109" s="1300"/>
      <c r="Q109" s="1300"/>
      <c r="R109" s="1300"/>
      <c r="S109" s="1301"/>
      <c r="T109" s="1301"/>
      <c r="U109" s="1301"/>
      <c r="V109" s="1301"/>
      <c r="W109" s="1302"/>
      <c r="Y109" s="1259"/>
      <c r="Z109" s="1259"/>
      <c r="AA109" s="1259"/>
      <c r="AB109" s="1259"/>
      <c r="AC109" s="1259"/>
      <c r="AD109" s="1259"/>
      <c r="AE109" s="1259"/>
      <c r="AF109" s="1259"/>
      <c r="AG109" s="1259"/>
      <c r="AH109" s="1259"/>
      <c r="AI109" s="1259"/>
      <c r="AJ109" s="1259"/>
      <c r="AK109" s="1259"/>
      <c r="AL109" s="1259"/>
      <c r="AM109" s="1259"/>
      <c r="AN109" s="1259"/>
      <c r="AO109" s="1259"/>
      <c r="AP109" s="1259"/>
      <c r="AQ109" s="1259"/>
      <c r="AR109" s="1467">
        <v>0</v>
      </c>
    </row>
    <row s="1853" customFormat="1" customHeight="1" ht="17.25" hidden="1">
      <c r="A110" s="321"/>
      <c r="C110" s="209"/>
      <c r="D110" s="2135">
        <v>2</v>
      </c>
      <c r="E110" s="2143" t="s">
        <v>256</v>
      </c>
      <c r="F110" s="2145" t="s">
        <v>19</v>
      </c>
      <c r="G110" s="2143"/>
      <c r="H110" s="2148"/>
      <c r="I110" s="2150"/>
      <c r="J110" s="2152"/>
      <c r="K110" s="2137"/>
      <c r="L110" s="2137"/>
      <c r="M110" s="2137"/>
      <c r="N110" s="2139"/>
      <c r="O110" s="2137"/>
      <c r="P110" s="2137"/>
      <c r="Q110" s="2137"/>
      <c r="R110" s="2142"/>
      <c r="S110" s="2137"/>
      <c r="T110" s="1470"/>
      <c r="U110" s="1470"/>
      <c r="V110" s="1472"/>
      <c r="W110" s="1296"/>
      <c r="X110" s="1267"/>
      <c r="Y110" s="1267"/>
      <c r="Z110" s="1267"/>
      <c r="AA110" s="1267"/>
      <c r="AB110" s="1267"/>
      <c r="AC110" s="1267" t="s">
        <v>257</v>
      </c>
      <c r="AD110" s="1267" t="s">
        <v>258</v>
      </c>
      <c r="AE110" s="1267" t="s">
        <v>259</v>
      </c>
      <c r="AF110" s="1267" t="s">
        <v>260</v>
      </c>
      <c r="AG110" s="1267"/>
      <c r="AH110" s="1267" t="str">
        <f>IF($E$110=0,"",$E$110)</f>
        <v>Тариф на транспортировку горячей воды</v>
      </c>
      <c r="AI110" s="1267" t="str">
        <f>IF($G$110=0,"",$G$110)</f>
        <v/>
      </c>
      <c r="AJ110" s="1267" t="str">
        <f>IF($J$110=0,"",$J$110)</f>
        <v/>
      </c>
      <c r="AK110" s="1267" t="str">
        <f>IF($K$110="нет","без дифференциации",IF($N$110=0,"",$N$110))</f>
        <v/>
      </c>
      <c r="AL110" s="1267" t="str">
        <f>IF($O$110="нет","без дифференциации",IF($R$110=0,"",$R$110))</f>
        <v/>
      </c>
      <c r="AM110" s="1267" t="str">
        <f>IF($S$110="нет","без дифференциации",IF($V$110=0,"",$V$110))</f>
        <v/>
      </c>
      <c r="AN110" s="1772">
        <f>$I$110</f>
        <v>0</v>
      </c>
      <c r="AO110" s="1267" t="str">
        <f>$I$110&amp;"."&amp;$M$110</f>
        <v>.</v>
      </c>
      <c r="AP110" s="1259" t="str">
        <f>$I$110&amp;"."&amp;$M$110&amp;"."&amp;$Q$110</f>
        <v>..</v>
      </c>
      <c r="AQ110" s="1259" t="str">
        <f>$I$110&amp;"."&amp;$M$110&amp;"."&amp;$Q$110&amp;"."&amp;$U$110</f>
        <v>...</v>
      </c>
      <c r="AR110" s="1467">
        <v>0</v>
      </c>
    </row>
    <row s="1853" customFormat="1" customHeight="1" ht="17.25" hidden="1">
      <c r="A111" s="321"/>
      <c r="C111" s="320"/>
      <c r="D111" s="2135"/>
      <c r="E111" s="2143"/>
      <c r="F111" s="2146"/>
      <c r="G111" s="2143"/>
      <c r="H111" s="2149"/>
      <c r="I111" s="2151"/>
      <c r="J111" s="2153"/>
      <c r="K111" s="2138"/>
      <c r="L111" s="2138"/>
      <c r="M111" s="2138"/>
      <c r="N111" s="2140"/>
      <c r="O111" s="2138"/>
      <c r="P111" s="2138"/>
      <c r="Q111" s="2138"/>
      <c r="R111" s="2141"/>
      <c r="S111" s="2138"/>
      <c r="T111" s="1297"/>
      <c r="U111" s="1297"/>
      <c r="V111" s="1297"/>
      <c r="W111" s="1298"/>
      <c r="X111" s="1259"/>
      <c r="Y111" s="1259"/>
      <c r="Z111" s="1259"/>
      <c r="AA111" s="1259"/>
      <c r="AB111" s="1259"/>
      <c r="AC111" s="1259"/>
      <c r="AD111" s="1259"/>
      <c r="AE111" s="1259"/>
      <c r="AF111" s="1259"/>
      <c r="AG111" s="1259"/>
      <c r="AH111" s="1259"/>
      <c r="AI111" s="1259"/>
      <c r="AJ111" s="1259"/>
      <c r="AK111" s="1259"/>
      <c r="AL111" s="1259"/>
      <c r="AM111" s="1259"/>
      <c r="AN111" s="1259"/>
      <c r="AO111" s="1259"/>
      <c r="AP111" s="1259"/>
      <c r="AQ111" s="1259"/>
      <c r="AR111" s="1467">
        <v>0</v>
      </c>
    </row>
    <row s="1853" customFormat="1" customHeight="1" ht="17.25" hidden="1">
      <c r="A112" s="321"/>
      <c r="C112" s="320"/>
      <c r="D112" s="2136"/>
      <c r="E112" s="2144"/>
      <c r="F112" s="2146"/>
      <c r="G112" s="2144"/>
      <c r="H112" s="2149"/>
      <c r="I112" s="2151"/>
      <c r="J112" s="2154"/>
      <c r="K112" s="2138"/>
      <c r="L112" s="2138"/>
      <c r="M112" s="2138"/>
      <c r="N112" s="2141"/>
      <c r="O112" s="2138"/>
      <c r="P112" s="1471"/>
      <c r="Q112" s="1297"/>
      <c r="R112" s="1297"/>
      <c r="S112" s="329"/>
      <c r="T112" s="329"/>
      <c r="U112" s="329"/>
      <c r="V112" s="329"/>
      <c r="W112" s="1298"/>
      <c r="X112" s="1259"/>
      <c r="Y112" s="1259"/>
      <c r="Z112" s="1259"/>
      <c r="AA112" s="1259"/>
      <c r="AB112" s="1259"/>
      <c r="AC112" s="1259"/>
      <c r="AD112" s="1259"/>
      <c r="AE112" s="1259"/>
      <c r="AF112" s="1259"/>
      <c r="AG112" s="1259"/>
      <c r="AH112" s="1259"/>
      <c r="AI112" s="1259"/>
      <c r="AJ112" s="1259"/>
      <c r="AK112" s="1259"/>
      <c r="AL112" s="1259"/>
      <c r="AM112" s="1259"/>
      <c r="AN112" s="1259"/>
      <c r="AO112" s="1259"/>
      <c r="AP112" s="1259"/>
      <c r="AQ112" s="1259"/>
      <c r="AR112" s="1467">
        <v>0</v>
      </c>
    </row>
    <row s="1853" customFormat="1" customHeight="1" ht="17.25" hidden="1">
      <c r="A113" s="321"/>
      <c r="C113" s="320"/>
      <c r="D113" s="2136"/>
      <c r="E113" s="2144"/>
      <c r="F113" s="2146"/>
      <c r="G113" s="2144"/>
      <c r="H113" s="2149"/>
      <c r="I113" s="2151"/>
      <c r="J113" s="2154"/>
      <c r="K113" s="2138"/>
      <c r="L113" s="1297"/>
      <c r="M113" s="1297"/>
      <c r="N113" s="1297"/>
      <c r="O113" s="1297"/>
      <c r="P113" s="1297"/>
      <c r="Q113" s="1297"/>
      <c r="R113" s="1297"/>
      <c r="S113" s="329"/>
      <c r="T113" s="329"/>
      <c r="U113" s="329"/>
      <c r="V113" s="329"/>
      <c r="W113" s="1298"/>
      <c r="X113" s="1259"/>
      <c r="Y113" s="1259"/>
      <c r="Z113" s="1259"/>
      <c r="AA113" s="1259"/>
      <c r="AB113" s="1259"/>
      <c r="AC113" s="1259"/>
      <c r="AD113" s="1259"/>
      <c r="AE113" s="1259"/>
      <c r="AF113" s="1259"/>
      <c r="AG113" s="1259"/>
      <c r="AH113" s="1259"/>
      <c r="AI113" s="1259"/>
      <c r="AJ113" s="1259"/>
      <c r="AK113" s="1259"/>
      <c r="AL113" s="1259"/>
      <c r="AM113" s="1259"/>
      <c r="AN113" s="1259"/>
      <c r="AO113" s="1259"/>
      <c r="AP113" s="1259"/>
      <c r="AQ113" s="1259"/>
      <c r="AR113" s="1467">
        <v>0</v>
      </c>
    </row>
    <row s="1853" customFormat="1" customHeight="1" ht="17.25" hidden="1">
      <c r="A114" s="321"/>
      <c r="C114" s="320"/>
      <c r="D114" s="2136"/>
      <c r="E114" s="2144"/>
      <c r="F114" s="2147"/>
      <c r="G114" s="2144"/>
      <c r="H114" s="1299"/>
      <c r="I114" s="1300"/>
      <c r="J114" s="1300"/>
      <c r="K114" s="1300"/>
      <c r="L114" s="1300"/>
      <c r="M114" s="1300"/>
      <c r="N114" s="1300"/>
      <c r="O114" s="1300"/>
      <c r="P114" s="1300"/>
      <c r="Q114" s="1300"/>
      <c r="R114" s="1300"/>
      <c r="S114" s="1301"/>
      <c r="T114" s="1301"/>
      <c r="U114" s="1301"/>
      <c r="V114" s="1301"/>
      <c r="W114" s="1302"/>
      <c r="X114" s="1259"/>
      <c r="Y114" s="1259"/>
      <c r="Z114" s="1259"/>
      <c r="AA114" s="1259"/>
      <c r="AB114" s="1259"/>
      <c r="AC114" s="1259"/>
      <c r="AD114" s="1259"/>
      <c r="AE114" s="1259"/>
      <c r="AF114" s="1259"/>
      <c r="AG114" s="1259"/>
      <c r="AH114" s="1259"/>
      <c r="AI114" s="1259"/>
      <c r="AJ114" s="1259"/>
      <c r="AK114" s="1259"/>
      <c r="AL114" s="1259"/>
      <c r="AM114" s="1259"/>
      <c r="AN114" s="1259"/>
      <c r="AO114" s="1259"/>
      <c r="AP114" s="1259"/>
      <c r="AQ114" s="1259"/>
      <c r="AR114" s="1467">
        <v>0</v>
      </c>
    </row>
    <row s="1853" customFormat="1" customHeight="1" ht="17.25" hidden="1">
      <c r="A115" s="321"/>
      <c r="C115" s="209"/>
      <c r="D115" s="2135">
        <v>3</v>
      </c>
      <c r="E115" s="2143" t="s">
        <v>261</v>
      </c>
      <c r="F115" s="2145" t="s">
        <v>19</v>
      </c>
      <c r="G115" s="2143"/>
      <c r="H115" s="2148"/>
      <c r="I115" s="2150"/>
      <c r="J115" s="2152"/>
      <c r="K115" s="2137"/>
      <c r="L115" s="2137"/>
      <c r="M115" s="2137"/>
      <c r="N115" s="2139"/>
      <c r="O115" s="2137"/>
      <c r="P115" s="2137"/>
      <c r="Q115" s="2137"/>
      <c r="R115" s="2142"/>
      <c r="S115" s="2137"/>
      <c r="T115" s="1943"/>
      <c r="U115" s="1943"/>
      <c r="V115" s="1945"/>
      <c r="W115" s="1296"/>
      <c r="X115" s="1267"/>
      <c r="Y115" s="1267"/>
      <c r="Z115" s="1267"/>
      <c r="AA115" s="1267"/>
      <c r="AB115" s="1267"/>
      <c r="AC115" s="1267" t="s">
        <v>262</v>
      </c>
      <c r="AD115" s="1267" t="s">
        <v>263</v>
      </c>
      <c r="AE115" s="1267" t="s">
        <v>264</v>
      </c>
      <c r="AF115" s="1267" t="s">
        <v>265</v>
      </c>
      <c r="AG115" s="1267"/>
      <c r="AH115" s="1267" t="str">
        <f>IF($E$115=0,"",$E$115)</f>
        <v>Тариф на подключение (технологическое присоединение) к централизованной системе горячего водоснабжения</v>
      </c>
      <c r="AI115" s="1267" t="str">
        <f>IF($G$115=0,"",$G$115)</f>
        <v/>
      </c>
      <c r="AJ115" s="1267" t="str">
        <f>IF($J$115=0,"",$J$115)</f>
        <v/>
      </c>
      <c r="AK115" s="1267" t="str">
        <f>IF($K$115="нет","без дифференциации",IF($N$115=0,"",$N$115))</f>
        <v/>
      </c>
      <c r="AL115" s="1267" t="str">
        <f>IF($O$115="нет","без дифференциации",IF($R$115=0,"",$R$115))</f>
        <v/>
      </c>
      <c r="AM115" s="1267" t="str">
        <f>IF($S$115="нет","без дифференциации",IF($V$115=0,"",$V$115))</f>
        <v/>
      </c>
      <c r="AN115" s="1772">
        <f>$I$115</f>
        <v>0</v>
      </c>
      <c r="AO115" s="1267" t="str">
        <f>$I$115&amp;"."&amp;$M$115</f>
        <v>.</v>
      </c>
      <c r="AP115" s="1266" t="str">
        <f>$I$115&amp;"."&amp;$M$115&amp;"."&amp;$Q$115</f>
        <v>..</v>
      </c>
      <c r="AQ115" s="1266" t="str">
        <f>$I$115&amp;"."&amp;$M$115&amp;"."&amp;$Q$115&amp;"."&amp;$U$115</f>
        <v>...</v>
      </c>
      <c r="AR115" s="1467">
        <v>0</v>
      </c>
    </row>
    <row s="1853" customFormat="1" customHeight="1" ht="17.25" hidden="1">
      <c r="A116" s="321"/>
      <c r="C116" s="320"/>
      <c r="D116" s="2135"/>
      <c r="E116" s="2143"/>
      <c r="F116" s="2146"/>
      <c r="G116" s="2143"/>
      <c r="H116" s="2149"/>
      <c r="I116" s="2151"/>
      <c r="J116" s="2153"/>
      <c r="K116" s="2138"/>
      <c r="L116" s="2138"/>
      <c r="M116" s="2138"/>
      <c r="N116" s="2140"/>
      <c r="O116" s="2138"/>
      <c r="P116" s="2138"/>
      <c r="Q116" s="2138"/>
      <c r="R116" s="2141"/>
      <c r="S116" s="2138"/>
      <c r="T116" s="1948"/>
      <c r="U116" s="1948"/>
      <c r="V116" s="1948"/>
      <c r="W116" s="1949"/>
      <c r="X116" s="1266"/>
      <c r="Y116" s="1266"/>
      <c r="Z116" s="1266"/>
      <c r="AA116" s="1266"/>
      <c r="AB116" s="1266"/>
      <c r="AC116" s="1266"/>
      <c r="AD116" s="1266"/>
      <c r="AE116" s="1266"/>
      <c r="AF116" s="1266"/>
      <c r="AG116" s="1266"/>
      <c r="AH116" s="1266"/>
      <c r="AI116" s="1266"/>
      <c r="AJ116" s="1266"/>
      <c r="AK116" s="1266"/>
      <c r="AL116" s="1266"/>
      <c r="AM116" s="1266"/>
      <c r="AN116" s="1266"/>
      <c r="AO116" s="1266"/>
      <c r="AP116" s="1266"/>
      <c r="AQ116" s="1266"/>
      <c r="AR116" s="1467">
        <v>0</v>
      </c>
    </row>
    <row s="1853" customFormat="1" customHeight="1" ht="17.25" hidden="1">
      <c r="A117" s="321"/>
      <c r="C117" s="320"/>
      <c r="D117" s="2136"/>
      <c r="E117" s="2144"/>
      <c r="F117" s="2146"/>
      <c r="G117" s="2144"/>
      <c r="H117" s="2149"/>
      <c r="I117" s="2151"/>
      <c r="J117" s="2154"/>
      <c r="K117" s="2138"/>
      <c r="L117" s="2138"/>
      <c r="M117" s="2138"/>
      <c r="N117" s="2141"/>
      <c r="O117" s="2138"/>
      <c r="P117" s="1944"/>
      <c r="Q117" s="1948"/>
      <c r="R117" s="1948"/>
      <c r="S117" s="329"/>
      <c r="T117" s="329"/>
      <c r="U117" s="329"/>
      <c r="V117" s="329"/>
      <c r="W117" s="1949"/>
      <c r="X117" s="1266"/>
      <c r="Y117" s="1266"/>
      <c r="Z117" s="1266"/>
      <c r="AA117" s="1266"/>
      <c r="AB117" s="1266"/>
      <c r="AC117" s="1266"/>
      <c r="AD117" s="1266"/>
      <c r="AE117" s="1266"/>
      <c r="AF117" s="1266"/>
      <c r="AG117" s="1266"/>
      <c r="AH117" s="1266"/>
      <c r="AI117" s="1266"/>
      <c r="AJ117" s="1266"/>
      <c r="AK117" s="1266"/>
      <c r="AL117" s="1266"/>
      <c r="AM117" s="1266"/>
      <c r="AN117" s="1266"/>
      <c r="AO117" s="1266"/>
      <c r="AP117" s="1266"/>
      <c r="AQ117" s="1266"/>
      <c r="AR117" s="1467">
        <v>0</v>
      </c>
    </row>
    <row s="1853" customFormat="1" customHeight="1" ht="17.25" hidden="1">
      <c r="A118" s="321"/>
      <c r="C118" s="320"/>
      <c r="D118" s="2136"/>
      <c r="E118" s="2144"/>
      <c r="F118" s="2146"/>
      <c r="G118" s="2144"/>
      <c r="H118" s="2149"/>
      <c r="I118" s="2151"/>
      <c r="J118" s="2154"/>
      <c r="K118" s="2138"/>
      <c r="L118" s="1948"/>
      <c r="M118" s="1948"/>
      <c r="N118" s="1948"/>
      <c r="O118" s="1948"/>
      <c r="P118" s="1948"/>
      <c r="Q118" s="1948"/>
      <c r="R118" s="1948"/>
      <c r="S118" s="329"/>
      <c r="T118" s="329"/>
      <c r="U118" s="329"/>
      <c r="V118" s="329"/>
      <c r="W118" s="1949"/>
      <c r="X118" s="1266"/>
      <c r="Y118" s="1266"/>
      <c r="Z118" s="1266"/>
      <c r="AA118" s="1266"/>
      <c r="AB118" s="1266"/>
      <c r="AC118" s="1266"/>
      <c r="AD118" s="1266"/>
      <c r="AE118" s="1266"/>
      <c r="AF118" s="1266"/>
      <c r="AG118" s="1266"/>
      <c r="AH118" s="1266"/>
      <c r="AI118" s="1266"/>
      <c r="AJ118" s="1266"/>
      <c r="AK118" s="1266"/>
      <c r="AL118" s="1266"/>
      <c r="AM118" s="1266"/>
      <c r="AN118" s="1266"/>
      <c r="AO118" s="1266"/>
      <c r="AP118" s="1266"/>
      <c r="AQ118" s="1266"/>
      <c r="AR118" s="1467">
        <v>0</v>
      </c>
    </row>
    <row s="1853" customFormat="1" customHeight="1" ht="17.25" hidden="1">
      <c r="A119" s="321"/>
      <c r="C119" s="320"/>
      <c r="D119" s="2136"/>
      <c r="E119" s="2144"/>
      <c r="F119" s="2147"/>
      <c r="G119" s="2144"/>
      <c r="H119" s="1299"/>
      <c r="I119" s="1946"/>
      <c r="J119" s="1946"/>
      <c r="K119" s="1946"/>
      <c r="L119" s="1946"/>
      <c r="M119" s="1946"/>
      <c r="N119" s="1946"/>
      <c r="O119" s="1946"/>
      <c r="P119" s="1946"/>
      <c r="Q119" s="1946"/>
      <c r="R119" s="1946"/>
      <c r="S119" s="1301"/>
      <c r="T119" s="1301"/>
      <c r="U119" s="1301"/>
      <c r="V119" s="1301"/>
      <c r="W119" s="1947"/>
      <c r="X119" s="1266"/>
      <c r="Y119" s="1266"/>
      <c r="Z119" s="1266"/>
      <c r="AA119" s="1266"/>
      <c r="AB119" s="1266"/>
      <c r="AC119" s="1266"/>
      <c r="AD119" s="1266"/>
      <c r="AE119" s="1266"/>
      <c r="AF119" s="1266"/>
      <c r="AG119" s="1266"/>
      <c r="AH119" s="1266"/>
      <c r="AI119" s="1266"/>
      <c r="AJ119" s="1266"/>
      <c r="AK119" s="1266"/>
      <c r="AL119" s="1266"/>
      <c r="AM119" s="1266"/>
      <c r="AN119" s="1266"/>
      <c r="AO119" s="1266"/>
      <c r="AP119" s="1266"/>
      <c r="AQ119" s="1266"/>
      <c r="AR119" s="1467">
        <v>0</v>
      </c>
    </row>
    <row s="1853" customFormat="1" customHeight="1" ht="11.25" hidden="1">
      <c r="A120" s="277"/>
      <c r="B120" s="277"/>
      <c r="Y120" s="1259"/>
      <c r="Z120" s="1259"/>
      <c r="AA120" s="1259"/>
      <c r="AB120" s="1259"/>
      <c r="AC120" s="1259"/>
      <c r="AD120" s="1259"/>
      <c r="AE120" s="1259"/>
      <c r="AF120" s="1259"/>
      <c r="AG120" s="1259"/>
      <c r="AH120" s="1259"/>
      <c r="AI120" s="1259"/>
      <c r="AJ120" s="1259"/>
      <c r="AK120" s="1259"/>
      <c r="AL120" s="1259"/>
      <c r="AM120" s="1259"/>
      <c r="AN120" s="1259"/>
      <c r="AO120" s="1259"/>
      <c r="AP120" s="1259"/>
      <c r="AQ120" s="1259"/>
      <c r="AR120" s="1467">
        <v>0</v>
      </c>
    </row>
    <row s="1853" customFormat="1" customHeight="1" ht="17.25" hidden="1">
      <c r="A121" s="321"/>
      <c r="C121" s="209"/>
      <c r="D121" s="2135">
        <v>1</v>
      </c>
      <c r="E121" s="2143" t="s">
        <v>266</v>
      </c>
      <c r="F121" s="2145" t="s">
        <v>19</v>
      </c>
      <c r="G121" s="2143"/>
      <c r="H121" s="2148"/>
      <c r="I121" s="2150"/>
      <c r="J121" s="2152"/>
      <c r="K121" s="2137"/>
      <c r="L121" s="2137"/>
      <c r="M121" s="2137"/>
      <c r="N121" s="2139"/>
      <c r="O121" s="2137"/>
      <c r="P121" s="2137"/>
      <c r="Q121" s="2137"/>
      <c r="R121" s="2142"/>
      <c r="S121" s="2137"/>
      <c r="T121" s="1470"/>
      <c r="U121" s="1470"/>
      <c r="V121" s="1472"/>
      <c r="W121" s="1296"/>
      <c r="Y121" s="1267"/>
      <c r="Z121" s="1267"/>
      <c r="AA121" s="1267"/>
      <c r="AB121" s="1267"/>
      <c r="AC121" s="1267" t="s">
        <v>267</v>
      </c>
      <c r="AD121" s="1267" t="s">
        <v>268</v>
      </c>
      <c r="AE121" s="1267" t="s">
        <v>269</v>
      </c>
      <c r="AF121" s="1267" t="s">
        <v>270</v>
      </c>
      <c r="AG121" s="1267"/>
      <c r="AH121" s="1267" t="str">
        <f>IF($E$121=0,"",$E$121)</f>
        <v>Тариф на водоотведение</v>
      </c>
      <c r="AI121" s="1267" t="str">
        <f>IF($G$121=0,"",$G$121)</f>
        <v/>
      </c>
      <c r="AJ121" s="1267" t="str">
        <f>IF($J$121=0,"",$J$121)</f>
        <v/>
      </c>
      <c r="AK121" s="1267" t="str">
        <f>IF($K$121="нет","без дифференциации",IF($N$121=0,"",$N$121))</f>
        <v/>
      </c>
      <c r="AL121" s="1267" t="str">
        <f>IF($O$121="нет","без дифференциации",IF($R$121=0,"",$R$121))</f>
        <v/>
      </c>
      <c r="AM121" s="1267" t="str">
        <f>IF($S$121="нет","без дифференциации",IF($V$121=0,"",$V$121))</f>
        <v/>
      </c>
      <c r="AN121" s="1267">
        <f>$I$121</f>
        <v>0</v>
      </c>
      <c r="AO121" s="1267" t="str">
        <f>$I$121&amp;"."&amp;$M$121</f>
        <v>.</v>
      </c>
      <c r="AP121" s="1267" t="str">
        <f>$I$121&amp;"."&amp;$M$121&amp;"."&amp;$Q$121</f>
        <v>..</v>
      </c>
      <c r="AQ121" s="1267" t="str">
        <f>$I$121&amp;"."&amp;$M$121&amp;"."&amp;$Q$121&amp;"."&amp;$U$121</f>
        <v>...</v>
      </c>
      <c r="AR121" s="1467">
        <v>0</v>
      </c>
    </row>
    <row s="1853" customFormat="1" customHeight="1" ht="17.25" hidden="1">
      <c r="A122" s="321"/>
      <c r="C122" s="320"/>
      <c r="D122" s="2135"/>
      <c r="E122" s="2143"/>
      <c r="F122" s="2146"/>
      <c r="G122" s="2143"/>
      <c r="H122" s="2149"/>
      <c r="I122" s="2151"/>
      <c r="J122" s="2153"/>
      <c r="K122" s="2138"/>
      <c r="L122" s="2138"/>
      <c r="M122" s="2138"/>
      <c r="N122" s="2140"/>
      <c r="O122" s="2138"/>
      <c r="P122" s="2138"/>
      <c r="Q122" s="2138"/>
      <c r="R122" s="2141"/>
      <c r="S122" s="2138"/>
      <c r="T122" s="1297"/>
      <c r="U122" s="1297"/>
      <c r="V122" s="1297"/>
      <c r="W122" s="1298"/>
      <c r="Y122" s="1259"/>
      <c r="Z122" s="1259"/>
      <c r="AA122" s="1259"/>
      <c r="AB122" s="1259"/>
      <c r="AC122" s="1259"/>
      <c r="AD122" s="1259"/>
      <c r="AE122" s="1259"/>
      <c r="AF122" s="1259"/>
      <c r="AG122" s="1259"/>
      <c r="AH122" s="1259"/>
      <c r="AI122" s="1259"/>
      <c r="AJ122" s="1259"/>
      <c r="AK122" s="1259"/>
      <c r="AL122" s="1259"/>
      <c r="AM122" s="1259"/>
      <c r="AN122" s="1259"/>
      <c r="AO122" s="1259"/>
      <c r="AP122" s="1259"/>
      <c r="AQ122" s="1259"/>
      <c r="AR122" s="1467">
        <v>0</v>
      </c>
    </row>
    <row s="1853" customFormat="1" customHeight="1" ht="17.25" hidden="1">
      <c r="A123" s="321"/>
      <c r="C123" s="209"/>
      <c r="D123" s="2135"/>
      <c r="E123" s="2143"/>
      <c r="F123" s="2146"/>
      <c r="G123" s="2143"/>
      <c r="H123" s="2149"/>
      <c r="I123" s="2151"/>
      <c r="J123" s="2154"/>
      <c r="K123" s="2138"/>
      <c r="L123" s="2138"/>
      <c r="M123" s="2138"/>
      <c r="N123" s="2141"/>
      <c r="O123" s="2138"/>
      <c r="P123" s="1471"/>
      <c r="Q123" s="1297"/>
      <c r="R123" s="1297"/>
      <c r="S123" s="329"/>
      <c r="T123" s="329"/>
      <c r="U123" s="329"/>
      <c r="V123" s="329"/>
      <c r="W123" s="1298"/>
      <c r="Y123" s="1267"/>
      <c r="Z123" s="1267"/>
      <c r="AA123" s="1267"/>
      <c r="AB123" s="1267"/>
      <c r="AC123" s="1267"/>
      <c r="AD123" s="1267"/>
      <c r="AE123" s="1267"/>
      <c r="AF123" s="1267"/>
      <c r="AG123" s="1267"/>
      <c r="AH123" s="1267"/>
      <c r="AI123" s="1267"/>
      <c r="AJ123" s="1267"/>
      <c r="AK123" s="1267"/>
      <c r="AL123" s="1267"/>
      <c r="AM123" s="1267"/>
      <c r="AN123" s="1267"/>
      <c r="AO123" s="1267"/>
      <c r="AP123" s="1267"/>
      <c r="AQ123" s="1267"/>
      <c r="AR123" s="1467">
        <v>0</v>
      </c>
    </row>
    <row s="1853" customFormat="1" customHeight="1" ht="17.25" hidden="1">
      <c r="A124" s="321"/>
      <c r="C124" s="320"/>
      <c r="D124" s="2135"/>
      <c r="E124" s="2143"/>
      <c r="F124" s="2146"/>
      <c r="G124" s="2143"/>
      <c r="H124" s="2149"/>
      <c r="I124" s="2151"/>
      <c r="J124" s="2154"/>
      <c r="K124" s="2138"/>
      <c r="L124" s="1297"/>
      <c r="M124" s="1297"/>
      <c r="N124" s="1297"/>
      <c r="O124" s="1297"/>
      <c r="P124" s="1297"/>
      <c r="Q124" s="1297"/>
      <c r="R124" s="1297"/>
      <c r="S124" s="329"/>
      <c r="T124" s="329"/>
      <c r="U124" s="329"/>
      <c r="V124" s="329"/>
      <c r="W124" s="1298"/>
      <c r="Y124" s="1259"/>
      <c r="Z124" s="1259"/>
      <c r="AA124" s="1259"/>
      <c r="AB124" s="1259"/>
      <c r="AC124" s="1259"/>
      <c r="AD124" s="1259"/>
      <c r="AE124" s="1259"/>
      <c r="AF124" s="1259"/>
      <c r="AG124" s="1259"/>
      <c r="AH124" s="1259"/>
      <c r="AI124" s="1259"/>
      <c r="AJ124" s="1259"/>
      <c r="AK124" s="1259"/>
      <c r="AL124" s="1259"/>
      <c r="AM124" s="1259"/>
      <c r="AN124" s="1259"/>
      <c r="AO124" s="1259"/>
      <c r="AP124" s="1259"/>
      <c r="AQ124" s="1259"/>
      <c r="AR124" s="1467">
        <v>0</v>
      </c>
    </row>
    <row s="1853" customFormat="1" customHeight="1" ht="17.25" hidden="1">
      <c r="A125" s="321"/>
      <c r="C125" s="320"/>
      <c r="D125" s="2136"/>
      <c r="E125" s="2144"/>
      <c r="F125" s="2147"/>
      <c r="G125" s="2144"/>
      <c r="H125" s="1299"/>
      <c r="I125" s="1300"/>
      <c r="J125" s="1300"/>
      <c r="K125" s="1300"/>
      <c r="L125" s="1300"/>
      <c r="M125" s="1300"/>
      <c r="N125" s="1300"/>
      <c r="O125" s="1300"/>
      <c r="P125" s="1300"/>
      <c r="Q125" s="1300"/>
      <c r="R125" s="1300"/>
      <c r="S125" s="1301"/>
      <c r="T125" s="1301"/>
      <c r="U125" s="1301"/>
      <c r="V125" s="1301"/>
      <c r="W125" s="1302"/>
      <c r="Y125" s="1259"/>
      <c r="Z125" s="1259"/>
      <c r="AA125" s="1259"/>
      <c r="AB125" s="1259"/>
      <c r="AC125" s="1259"/>
      <c r="AD125" s="1259"/>
      <c r="AE125" s="1259"/>
      <c r="AF125" s="1259"/>
      <c r="AG125" s="1259"/>
      <c r="AH125" s="1259"/>
      <c r="AI125" s="1259"/>
      <c r="AJ125" s="1259"/>
      <c r="AK125" s="1259"/>
      <c r="AL125" s="1259"/>
      <c r="AM125" s="1259"/>
      <c r="AN125" s="1259"/>
      <c r="AO125" s="1259"/>
      <c r="AP125" s="1259"/>
      <c r="AQ125" s="1259"/>
      <c r="AR125" s="1467">
        <v>0</v>
      </c>
    </row>
    <row s="1853" customFormat="1" customHeight="1" ht="17.25" hidden="1">
      <c r="A126" s="321"/>
      <c r="C126" s="209"/>
      <c r="D126" s="2135">
        <v>2</v>
      </c>
      <c r="E126" s="2143" t="s">
        <v>271</v>
      </c>
      <c r="F126" s="2145" t="s">
        <v>19</v>
      </c>
      <c r="G126" s="2143"/>
      <c r="H126" s="2148"/>
      <c r="I126" s="2150"/>
      <c r="J126" s="2152"/>
      <c r="K126" s="2137"/>
      <c r="L126" s="2137"/>
      <c r="M126" s="2137"/>
      <c r="N126" s="2139"/>
      <c r="O126" s="2137"/>
      <c r="P126" s="2137"/>
      <c r="Q126" s="2137"/>
      <c r="R126" s="2142"/>
      <c r="S126" s="2137"/>
      <c r="T126" s="1470"/>
      <c r="U126" s="1470"/>
      <c r="V126" s="1472"/>
      <c r="W126" s="1296"/>
      <c r="X126" s="1267"/>
      <c r="Y126" s="1267"/>
      <c r="Z126" s="1267"/>
      <c r="AA126" s="1267"/>
      <c r="AB126" s="1267"/>
      <c r="AC126" s="1267" t="s">
        <v>272</v>
      </c>
      <c r="AD126" s="1267" t="s">
        <v>273</v>
      </c>
      <c r="AE126" s="1267" t="s">
        <v>274</v>
      </c>
      <c r="AF126" s="1267" t="s">
        <v>275</v>
      </c>
      <c r="AG126" s="1267"/>
      <c r="AH126" s="1267" t="str">
        <f>IF($E$126=0,"",$E$126)</f>
        <v>Тариф на транспортировку сточных вод</v>
      </c>
      <c r="AI126" s="1267" t="str">
        <f>IF($G$126=0,"",$G$126)</f>
        <v/>
      </c>
      <c r="AJ126" s="1267" t="str">
        <f>IF($J$126=0,"",$J$126)</f>
        <v/>
      </c>
      <c r="AK126" s="1267" t="str">
        <f>IF($K$126="нет","без дифференциации",IF($N$126=0,"",$N$126))</f>
        <v/>
      </c>
      <c r="AL126" s="1267" t="str">
        <f>IF($O$126="нет","без дифференциации",IF($R$126=0,"",$R$126))</f>
        <v/>
      </c>
      <c r="AM126" s="1267" t="str">
        <f>IF($S$126="нет","без дифференциации",IF($V$126=0,"",$V$126))</f>
        <v/>
      </c>
      <c r="AN126" s="1772">
        <f>$I$126</f>
        <v>0</v>
      </c>
      <c r="AO126" s="1267" t="str">
        <f>$I$126&amp;"."&amp;$M$126</f>
        <v>.</v>
      </c>
      <c r="AP126" s="1259" t="str">
        <f>$I$126&amp;"."&amp;$M$126&amp;"."&amp;$Q$126</f>
        <v>..</v>
      </c>
      <c r="AQ126" s="1259" t="str">
        <f>$I$126&amp;"."&amp;$M$126&amp;"."&amp;$Q$126&amp;"."&amp;$U$126</f>
        <v>...</v>
      </c>
      <c r="AR126" s="1467">
        <v>0</v>
      </c>
    </row>
    <row s="1853" customFormat="1" customHeight="1" ht="17.25" hidden="1">
      <c r="A127" s="321"/>
      <c r="C127" s="320"/>
      <c r="D127" s="2135"/>
      <c r="E127" s="2143"/>
      <c r="F127" s="2146"/>
      <c r="G127" s="2143"/>
      <c r="H127" s="2149"/>
      <c r="I127" s="2151"/>
      <c r="J127" s="2153"/>
      <c r="K127" s="2138"/>
      <c r="L127" s="2138"/>
      <c r="M127" s="2138"/>
      <c r="N127" s="2140"/>
      <c r="O127" s="2138"/>
      <c r="P127" s="2138"/>
      <c r="Q127" s="2138"/>
      <c r="R127" s="2141"/>
      <c r="S127" s="2138"/>
      <c r="T127" s="1297"/>
      <c r="U127" s="1297"/>
      <c r="V127" s="1297"/>
      <c r="W127" s="1298"/>
      <c r="X127" s="1259"/>
      <c r="Y127" s="1259"/>
      <c r="Z127" s="1259"/>
      <c r="AA127" s="1259"/>
      <c r="AB127" s="1259"/>
      <c r="AC127" s="1259"/>
      <c r="AD127" s="1259"/>
      <c r="AE127" s="1259"/>
      <c r="AF127" s="1259"/>
      <c r="AG127" s="1259"/>
      <c r="AH127" s="1259"/>
      <c r="AI127" s="1259"/>
      <c r="AJ127" s="1259"/>
      <c r="AK127" s="1259"/>
      <c r="AL127" s="1259"/>
      <c r="AM127" s="1259"/>
      <c r="AN127" s="1259"/>
      <c r="AO127" s="1259"/>
      <c r="AP127" s="1259"/>
      <c r="AQ127" s="1259"/>
      <c r="AR127" s="1467">
        <v>0</v>
      </c>
    </row>
    <row s="1853" customFormat="1" customHeight="1" ht="17.25" hidden="1">
      <c r="A128" s="321"/>
      <c r="C128" s="320"/>
      <c r="D128" s="2136"/>
      <c r="E128" s="2144"/>
      <c r="F128" s="2146"/>
      <c r="G128" s="2144"/>
      <c r="H128" s="2149"/>
      <c r="I128" s="2151"/>
      <c r="J128" s="2154"/>
      <c r="K128" s="2138"/>
      <c r="L128" s="2138"/>
      <c r="M128" s="2138"/>
      <c r="N128" s="2141"/>
      <c r="O128" s="2138"/>
      <c r="P128" s="1471"/>
      <c r="Q128" s="1297"/>
      <c r="R128" s="1297"/>
      <c r="S128" s="329"/>
      <c r="T128" s="329"/>
      <c r="U128" s="329"/>
      <c r="V128" s="329"/>
      <c r="W128" s="1298"/>
      <c r="X128" s="1259"/>
      <c r="Y128" s="1259"/>
      <c r="Z128" s="1259"/>
      <c r="AA128" s="1259"/>
      <c r="AB128" s="1259"/>
      <c r="AC128" s="1259"/>
      <c r="AD128" s="1259"/>
      <c r="AE128" s="1259"/>
      <c r="AF128" s="1259"/>
      <c r="AG128" s="1259"/>
      <c r="AH128" s="1259"/>
      <c r="AI128" s="1259"/>
      <c r="AJ128" s="1259"/>
      <c r="AK128" s="1259"/>
      <c r="AL128" s="1259"/>
      <c r="AM128" s="1259"/>
      <c r="AN128" s="1259"/>
      <c r="AO128" s="1259"/>
      <c r="AP128" s="1259"/>
      <c r="AQ128" s="1259"/>
      <c r="AR128" s="1467">
        <v>0</v>
      </c>
    </row>
    <row s="1853" customFormat="1" customHeight="1" ht="17.25" hidden="1">
      <c r="A129" s="321"/>
      <c r="C129" s="320"/>
      <c r="D129" s="2136"/>
      <c r="E129" s="2144"/>
      <c r="F129" s="2146"/>
      <c r="G129" s="2144"/>
      <c r="H129" s="2149"/>
      <c r="I129" s="2151"/>
      <c r="J129" s="2154"/>
      <c r="K129" s="2138"/>
      <c r="L129" s="1297"/>
      <c r="M129" s="1297"/>
      <c r="N129" s="1297"/>
      <c r="O129" s="1297"/>
      <c r="P129" s="1297"/>
      <c r="Q129" s="1297"/>
      <c r="R129" s="1297"/>
      <c r="S129" s="329"/>
      <c r="T129" s="329"/>
      <c r="U129" s="329"/>
      <c r="V129" s="329"/>
      <c r="W129" s="1298"/>
      <c r="X129" s="1259"/>
      <c r="Y129" s="1259"/>
      <c r="Z129" s="1259"/>
      <c r="AA129" s="1259"/>
      <c r="AB129" s="1259"/>
      <c r="AC129" s="1259"/>
      <c r="AD129" s="1259"/>
      <c r="AE129" s="1259"/>
      <c r="AF129" s="1259"/>
      <c r="AG129" s="1259"/>
      <c r="AH129" s="1259"/>
      <c r="AI129" s="1259"/>
      <c r="AJ129" s="1259"/>
      <c r="AK129" s="1259"/>
      <c r="AL129" s="1259"/>
      <c r="AM129" s="1259"/>
      <c r="AN129" s="1259"/>
      <c r="AO129" s="1259"/>
      <c r="AP129" s="1259"/>
      <c r="AQ129" s="1259"/>
      <c r="AR129" s="1467">
        <v>0</v>
      </c>
    </row>
    <row s="1853" customFormat="1" customHeight="1" ht="17.25" hidden="1">
      <c r="A130" s="321"/>
      <c r="C130" s="320"/>
      <c r="D130" s="2136"/>
      <c r="E130" s="2144"/>
      <c r="F130" s="2147"/>
      <c r="G130" s="2144"/>
      <c r="H130" s="1299"/>
      <c r="I130" s="1300"/>
      <c r="J130" s="1300"/>
      <c r="K130" s="1300"/>
      <c r="L130" s="1300"/>
      <c r="M130" s="1300"/>
      <c r="N130" s="1300"/>
      <c r="O130" s="1300"/>
      <c r="P130" s="1300"/>
      <c r="Q130" s="1300"/>
      <c r="R130" s="1300"/>
      <c r="S130" s="1301"/>
      <c r="T130" s="1301"/>
      <c r="U130" s="1301"/>
      <c r="V130" s="1301"/>
      <c r="W130" s="1302"/>
      <c r="X130" s="1259"/>
      <c r="Y130" s="1259"/>
      <c r="Z130" s="1259"/>
      <c r="AA130" s="1259"/>
      <c r="AB130" s="1259"/>
      <c r="AC130" s="1259"/>
      <c r="AD130" s="1259"/>
      <c r="AE130" s="1259"/>
      <c r="AF130" s="1259"/>
      <c r="AG130" s="1259"/>
      <c r="AH130" s="1259"/>
      <c r="AI130" s="1259"/>
      <c r="AJ130" s="1259"/>
      <c r="AK130" s="1259"/>
      <c r="AL130" s="1259"/>
      <c r="AM130" s="1259"/>
      <c r="AN130" s="1259"/>
      <c r="AO130" s="1259"/>
      <c r="AP130" s="1259"/>
      <c r="AQ130" s="1259"/>
      <c r="AR130" s="1467">
        <v>0</v>
      </c>
    </row>
    <row s="1853" customFormat="1" customHeight="1" ht="17.25" hidden="1">
      <c r="A131" s="321"/>
      <c r="C131" s="209"/>
      <c r="D131" s="2135">
        <v>3</v>
      </c>
      <c r="E131" s="2143" t="s">
        <v>276</v>
      </c>
      <c r="F131" s="2145" t="s">
        <v>19</v>
      </c>
      <c r="G131" s="2143"/>
      <c r="H131" s="2148"/>
      <c r="I131" s="2150"/>
      <c r="J131" s="2152"/>
      <c r="K131" s="2137"/>
      <c r="L131" s="2137"/>
      <c r="M131" s="2137"/>
      <c r="N131" s="2139"/>
      <c r="O131" s="2137"/>
      <c r="P131" s="2137"/>
      <c r="Q131" s="2137"/>
      <c r="R131" s="2142"/>
      <c r="S131" s="2137"/>
      <c r="T131" s="1943"/>
      <c r="U131" s="1943"/>
      <c r="V131" s="1945"/>
      <c r="W131" s="1296"/>
      <c r="X131" s="1267"/>
      <c r="Y131" s="1267"/>
      <c r="Z131" s="1267"/>
      <c r="AA131" s="1267"/>
      <c r="AB131" s="1267"/>
      <c r="AC131" s="1267" t="s">
        <v>277</v>
      </c>
      <c r="AD131" s="1267" t="s">
        <v>278</v>
      </c>
      <c r="AE131" s="1267" t="s">
        <v>279</v>
      </c>
      <c r="AF131" s="1267" t="s">
        <v>280</v>
      </c>
      <c r="AG131" s="1267"/>
      <c r="AH131" s="1267" t="str">
        <f>IF($E$131=0,"",$E$131)</f>
        <v>Тариф на подключение (технологическое присоединение) к централизованной системе водоотведения</v>
      </c>
      <c r="AI131" s="1267" t="str">
        <f>IF($G$131=0,"",$G$131)</f>
        <v/>
      </c>
      <c r="AJ131" s="1267" t="str">
        <f>IF($J$131=0,"",$J$131)</f>
        <v/>
      </c>
      <c r="AK131" s="1267" t="str">
        <f>IF($K$131="нет","без дифференциации",IF($N$131=0,"",$N$131))</f>
        <v/>
      </c>
      <c r="AL131" s="1267" t="str">
        <f>IF($O$131="нет","без дифференциации",IF($R$131=0,"",$R$131))</f>
        <v/>
      </c>
      <c r="AM131" s="1267" t="str">
        <f>IF($S$131="нет","без дифференциации",IF($V$131=0,"",$V$131))</f>
        <v/>
      </c>
      <c r="AN131" s="1772">
        <f>$I$131</f>
        <v>0</v>
      </c>
      <c r="AO131" s="1267" t="str">
        <f>$I$131&amp;"."&amp;$M$131</f>
        <v>.</v>
      </c>
      <c r="AP131" s="1266" t="str">
        <f>$I$131&amp;"."&amp;$M$131&amp;"."&amp;$Q$131</f>
        <v>..</v>
      </c>
      <c r="AQ131" s="1266" t="str">
        <f>$I$131&amp;"."&amp;$M$131&amp;"."&amp;$Q$131&amp;"."&amp;$U$131</f>
        <v>...</v>
      </c>
      <c r="AR131" s="1467">
        <v>0</v>
      </c>
    </row>
    <row s="1853" customFormat="1" customHeight="1" ht="17.25" hidden="1">
      <c r="A132" s="321"/>
      <c r="C132" s="320"/>
      <c r="D132" s="2135"/>
      <c r="E132" s="2143"/>
      <c r="F132" s="2146"/>
      <c r="G132" s="2143"/>
      <c r="H132" s="2149"/>
      <c r="I132" s="2151"/>
      <c r="J132" s="2153"/>
      <c r="K132" s="2138"/>
      <c r="L132" s="2138"/>
      <c r="M132" s="2138"/>
      <c r="N132" s="2140"/>
      <c r="O132" s="2138"/>
      <c r="P132" s="2138"/>
      <c r="Q132" s="2138"/>
      <c r="R132" s="2141"/>
      <c r="S132" s="2138"/>
      <c r="T132" s="1948"/>
      <c r="U132" s="1948"/>
      <c r="V132" s="1948"/>
      <c r="W132" s="1949"/>
      <c r="X132" s="1266"/>
      <c r="Y132" s="1266"/>
      <c r="Z132" s="1266"/>
      <c r="AA132" s="1266"/>
      <c r="AB132" s="1266"/>
      <c r="AC132" s="1266"/>
      <c r="AD132" s="1266"/>
      <c r="AE132" s="1266"/>
      <c r="AF132" s="1266"/>
      <c r="AG132" s="1266"/>
      <c r="AH132" s="1266"/>
      <c r="AI132" s="1266"/>
      <c r="AJ132" s="1266"/>
      <c r="AK132" s="1266"/>
      <c r="AL132" s="1266"/>
      <c r="AM132" s="1266"/>
      <c r="AN132" s="1266"/>
      <c r="AO132" s="1266"/>
      <c r="AP132" s="1266"/>
      <c r="AQ132" s="1266"/>
      <c r="AR132" s="1467">
        <v>0</v>
      </c>
    </row>
    <row s="1853" customFormat="1" customHeight="1" ht="17.25" hidden="1">
      <c r="A133" s="321"/>
      <c r="C133" s="320"/>
      <c r="D133" s="2136"/>
      <c r="E133" s="2144"/>
      <c r="F133" s="2146"/>
      <c r="G133" s="2144"/>
      <c r="H133" s="2149"/>
      <c r="I133" s="2151"/>
      <c r="J133" s="2154"/>
      <c r="K133" s="2138"/>
      <c r="L133" s="2138"/>
      <c r="M133" s="2138"/>
      <c r="N133" s="2141"/>
      <c r="O133" s="2138"/>
      <c r="P133" s="1944"/>
      <c r="Q133" s="1948"/>
      <c r="R133" s="1948"/>
      <c r="S133" s="329"/>
      <c r="T133" s="329"/>
      <c r="U133" s="329"/>
      <c r="V133" s="329"/>
      <c r="W133" s="1949"/>
      <c r="X133" s="1266"/>
      <c r="Y133" s="1266"/>
      <c r="Z133" s="1266"/>
      <c r="AA133" s="1266"/>
      <c r="AB133" s="1266"/>
      <c r="AC133" s="1266"/>
      <c r="AD133" s="1266"/>
      <c r="AE133" s="1266"/>
      <c r="AF133" s="1266"/>
      <c r="AG133" s="1266"/>
      <c r="AH133" s="1266"/>
      <c r="AI133" s="1266"/>
      <c r="AJ133" s="1266"/>
      <c r="AK133" s="1266"/>
      <c r="AL133" s="1266"/>
      <c r="AM133" s="1266"/>
      <c r="AN133" s="1266"/>
      <c r="AO133" s="1266"/>
      <c r="AP133" s="1266"/>
      <c r="AQ133" s="1266"/>
      <c r="AR133" s="1467">
        <v>0</v>
      </c>
    </row>
    <row s="1853" customFormat="1" customHeight="1" ht="17.25" hidden="1">
      <c r="A134" s="321"/>
      <c r="C134" s="320"/>
      <c r="D134" s="2136"/>
      <c r="E134" s="2144"/>
      <c r="F134" s="2146"/>
      <c r="G134" s="2144"/>
      <c r="H134" s="2149"/>
      <c r="I134" s="2151"/>
      <c r="J134" s="2154"/>
      <c r="K134" s="2138"/>
      <c r="L134" s="1948"/>
      <c r="M134" s="1948"/>
      <c r="N134" s="1948"/>
      <c r="O134" s="1948"/>
      <c r="P134" s="1948"/>
      <c r="Q134" s="1948"/>
      <c r="R134" s="1948"/>
      <c r="S134" s="329"/>
      <c r="T134" s="329"/>
      <c r="U134" s="329"/>
      <c r="V134" s="329"/>
      <c r="W134" s="1949"/>
      <c r="X134" s="1266"/>
      <c r="Y134" s="1266"/>
      <c r="Z134" s="1266"/>
      <c r="AA134" s="1266"/>
      <c r="AB134" s="1266"/>
      <c r="AC134" s="1266"/>
      <c r="AD134" s="1266"/>
      <c r="AE134" s="1266"/>
      <c r="AF134" s="1266"/>
      <c r="AG134" s="1266"/>
      <c r="AH134" s="1266"/>
      <c r="AI134" s="1266"/>
      <c r="AJ134" s="1266"/>
      <c r="AK134" s="1266"/>
      <c r="AL134" s="1266"/>
      <c r="AM134" s="1266"/>
      <c r="AN134" s="1266"/>
      <c r="AO134" s="1266"/>
      <c r="AP134" s="1266"/>
      <c r="AQ134" s="1266"/>
      <c r="AR134" s="1467">
        <v>0</v>
      </c>
    </row>
    <row s="1853" customFormat="1" customHeight="1" ht="17.25" hidden="1">
      <c r="A135" s="321"/>
      <c r="C135" s="320"/>
      <c r="D135" s="2136"/>
      <c r="E135" s="2144"/>
      <c r="F135" s="2147"/>
      <c r="G135" s="2144"/>
      <c r="H135" s="1299"/>
      <c r="I135" s="1946"/>
      <c r="J135" s="1946"/>
      <c r="K135" s="1946"/>
      <c r="L135" s="1946"/>
      <c r="M135" s="1946"/>
      <c r="N135" s="1946"/>
      <c r="O135" s="1946"/>
      <c r="P135" s="1946"/>
      <c r="Q135" s="1946"/>
      <c r="R135" s="1946"/>
      <c r="S135" s="1301"/>
      <c r="T135" s="1301"/>
      <c r="U135" s="1301"/>
      <c r="V135" s="1301"/>
      <c r="W135" s="1947"/>
      <c r="X135" s="1266"/>
      <c r="Y135" s="1266"/>
      <c r="Z135" s="1266"/>
      <c r="AA135" s="1266"/>
      <c r="AB135" s="1266"/>
      <c r="AC135" s="1266"/>
      <c r="AD135" s="1266"/>
      <c r="AE135" s="1266"/>
      <c r="AF135" s="1266"/>
      <c r="AG135" s="1266"/>
      <c r="AH135" s="1266"/>
      <c r="AI135" s="1266"/>
      <c r="AJ135" s="1266"/>
      <c r="AK135" s="1266"/>
      <c r="AL135" s="1266"/>
      <c r="AM135" s="1266"/>
      <c r="AN135" s="1266"/>
      <c r="AO135" s="1266"/>
      <c r="AP135" s="1266"/>
      <c r="AQ135" s="1266"/>
      <c r="AR135" s="1467">
        <v>0</v>
      </c>
    </row>
    <row customHeight="1" ht="11.549999999999999">
      <c r="AR136" s="104">
        <v>11</v>
      </c>
    </row>
    <row customHeight="1" ht="11.549999999999999">
      <c r="AR137" s="104">
        <v>11</v>
      </c>
    </row>
    <row customHeight="1" ht="11.549999999999999">
      <c r="AR138" s="104">
        <v>11</v>
      </c>
    </row>
    <row customHeight="1" ht="11.549999999999999">
      <c r="E139" s="1350"/>
      <c r="AR139" s="104">
        <v>11</v>
      </c>
    </row>
    <row customHeight="1" ht="11.549999999999999">
      <c r="E140" s="1350"/>
      <c r="AR140" s="104">
        <v>11</v>
      </c>
    </row>
    <row customHeight="1" ht="11.549999999999999">
      <c r="E141" s="1350"/>
      <c r="AR141" s="104">
        <v>11</v>
      </c>
    </row>
    <row customHeight="1" ht="11.549999999999999">
      <c r="E142" s="1350"/>
      <c r="AR142" s="104">
        <v>11</v>
      </c>
    </row>
    <row customHeight="1" ht="11.549999999999999">
      <c r="E143" s="1350"/>
      <c r="AR143" s="104">
        <v>11</v>
      </c>
    </row>
    <row customHeight="1" ht="11.549999999999999">
      <c r="E144" s="1350"/>
      <c r="AR144" s="104">
        <v>11</v>
      </c>
    </row>
    <row customHeight="1" ht="11.549999999999999">
      <c r="E145" s="1350"/>
      <c r="AR145" s="104">
        <v>11</v>
      </c>
    </row>
    <row customHeight="1" ht="11.25" hidden="1">
      <c r="A146" s="153" t="s">
        <v>82</v>
      </c>
      <c r="B146" s="153">
        <v>0</v>
      </c>
      <c r="C146" s="104">
        <v>3</v>
      </c>
      <c r="D146" s="104">
        <v>6</v>
      </c>
      <c r="E146" s="104">
        <v>42</v>
      </c>
      <c r="F146" s="1283">
        <v>14</v>
      </c>
      <c r="G146" s="104">
        <v>42</v>
      </c>
      <c r="H146" s="104">
        <v>3</v>
      </c>
      <c r="I146" s="104">
        <v>5</v>
      </c>
      <c r="J146" s="104">
        <v>47</v>
      </c>
      <c r="K146" s="104">
        <v>3</v>
      </c>
      <c r="L146" s="104">
        <v>3</v>
      </c>
      <c r="M146" s="104">
        <v>5</v>
      </c>
      <c r="N146" s="104">
        <v>28</v>
      </c>
      <c r="O146" s="104">
        <v>3</v>
      </c>
      <c r="P146" s="104">
        <v>3</v>
      </c>
      <c r="Q146" s="104">
        <v>5</v>
      </c>
      <c r="R146" s="104">
        <v>34</v>
      </c>
      <c r="S146" s="282">
        <v>0</v>
      </c>
      <c r="T146" s="282">
        <v>0</v>
      </c>
      <c r="U146" s="282">
        <v>0</v>
      </c>
      <c r="V146" s="282">
        <v>0</v>
      </c>
      <c r="W146" s="104">
        <v>30</v>
      </c>
      <c r="X146" s="104">
        <v>3</v>
      </c>
      <c r="Y146" s="1259">
        <v>0</v>
      </c>
      <c r="Z146" s="1259">
        <v>0</v>
      </c>
      <c r="AA146" s="1259">
        <v>0</v>
      </c>
      <c r="AB146" s="1259">
        <v>0</v>
      </c>
      <c r="AC146" s="1259">
        <v>0</v>
      </c>
      <c r="AD146" s="1259">
        <v>0</v>
      </c>
      <c r="AE146" s="1259">
        <v>0</v>
      </c>
      <c r="AF146" s="1259">
        <v>0</v>
      </c>
      <c r="AG146" s="1259">
        <v>0</v>
      </c>
      <c r="AH146" s="1259">
        <v>0</v>
      </c>
      <c r="AI146" s="1259">
        <v>0</v>
      </c>
      <c r="AJ146" s="1259">
        <v>0</v>
      </c>
      <c r="AK146" s="1259">
        <v>0</v>
      </c>
      <c r="AL146" s="1259">
        <v>0</v>
      </c>
      <c r="AM146" s="1259">
        <v>0</v>
      </c>
      <c r="AN146" s="1259">
        <v>0</v>
      </c>
      <c r="AO146" s="1259">
        <v>0</v>
      </c>
      <c r="AP146" s="1259">
        <v>0</v>
      </c>
      <c r="AQ146" s="1259">
        <v>0</v>
      </c>
      <c r="AR146" s="104">
        <v>11</v>
      </c>
    </row>
  </sheetData>
  <sheetProtection formatColumns="0" formatRows="0" autoFilter="0" sort="0" insertRows="0" insertColumns="1" deleteRows="0" deleteColumns="0"/>
  <mergeCells count="379">
    <mergeCell ref="R23:R24"/>
    <mergeCell ref="S23:S24"/>
    <mergeCell ref="G23:G27"/>
    <mergeCell ref="H23:H26"/>
    <mergeCell ref="I23:I26"/>
    <mergeCell ref="J23:J26"/>
    <mergeCell ref="K23:K26"/>
    <mergeCell ref="L23:L25"/>
    <mergeCell ref="M23:M25"/>
    <mergeCell ref="N23:N25"/>
    <mergeCell ref="O23:O25"/>
    <mergeCell ref="M131:M133"/>
    <mergeCell ref="N131:N133"/>
    <mergeCell ref="O131:O133"/>
    <mergeCell ref="P131:P132"/>
    <mergeCell ref="Q131:Q132"/>
    <mergeCell ref="R131:R132"/>
    <mergeCell ref="S131:S132"/>
    <mergeCell ref="D131:D135"/>
    <mergeCell ref="E131:E135"/>
    <mergeCell ref="F131:F135"/>
    <mergeCell ref="G131:G135"/>
    <mergeCell ref="H131:H134"/>
    <mergeCell ref="I131:I134"/>
    <mergeCell ref="J131:J134"/>
    <mergeCell ref="K131:K134"/>
    <mergeCell ref="L131:L133"/>
    <mergeCell ref="N99:N101"/>
    <mergeCell ref="O99:O101"/>
    <mergeCell ref="P99:P100"/>
    <mergeCell ref="Q99:Q100"/>
    <mergeCell ref="R99:R100"/>
    <mergeCell ref="S99:S100"/>
    <mergeCell ref="D115:D119"/>
    <mergeCell ref="E115:E119"/>
    <mergeCell ref="F115:F119"/>
    <mergeCell ref="G115:G119"/>
    <mergeCell ref="H115:H118"/>
    <mergeCell ref="I115:I118"/>
    <mergeCell ref="J115:J118"/>
    <mergeCell ref="K115:K118"/>
    <mergeCell ref="L115:L117"/>
    <mergeCell ref="M115:M117"/>
    <mergeCell ref="N115:N117"/>
    <mergeCell ref="O115:O117"/>
    <mergeCell ref="P115:P116"/>
    <mergeCell ref="Q115:Q116"/>
    <mergeCell ref="R115:R116"/>
    <mergeCell ref="S115:S116"/>
    <mergeCell ref="D99:D103"/>
    <mergeCell ref="E99:E103"/>
    <mergeCell ref="F99:F103"/>
    <mergeCell ref="G99:G103"/>
    <mergeCell ref="H99:H102"/>
    <mergeCell ref="I99:I102"/>
    <mergeCell ref="J99:J102"/>
    <mergeCell ref="K99:K102"/>
    <mergeCell ref="L99:L101"/>
    <mergeCell ref="S126:S127"/>
    <mergeCell ref="D126:D130"/>
    <mergeCell ref="E126:E130"/>
    <mergeCell ref="F126:F130"/>
    <mergeCell ref="G126:G130"/>
    <mergeCell ref="H126:H129"/>
    <mergeCell ref="I126:I129"/>
    <mergeCell ref="J126:J129"/>
    <mergeCell ref="K126:K129"/>
    <mergeCell ref="L126:L128"/>
    <mergeCell ref="H121:H124"/>
    <mergeCell ref="I121:I124"/>
    <mergeCell ref="J121:J124"/>
    <mergeCell ref="K121:K124"/>
    <mergeCell ref="L121:L123"/>
    <mergeCell ref="M121:M123"/>
    <mergeCell ref="N121:N123"/>
    <mergeCell ref="M126:M128"/>
    <mergeCell ref="N126:N128"/>
    <mergeCell ref="O126:O128"/>
    <mergeCell ref="P121:P122"/>
    <mergeCell ref="Q121:Q122"/>
    <mergeCell ref="R121:R122"/>
    <mergeCell ref="P126:P127"/>
    <mergeCell ref="Q126:Q127"/>
    <mergeCell ref="R126:R127"/>
    <mergeCell ref="S121:S122"/>
    <mergeCell ref="D121:D125"/>
    <mergeCell ref="E121:E125"/>
    <mergeCell ref="F121:F125"/>
    <mergeCell ref="G121:G125"/>
    <mergeCell ref="M110:M112"/>
    <mergeCell ref="N110:N112"/>
    <mergeCell ref="O110:O112"/>
    <mergeCell ref="P110:P111"/>
    <mergeCell ref="Q110:Q111"/>
    <mergeCell ref="R110:R111"/>
    <mergeCell ref="S110:S111"/>
    <mergeCell ref="D110:D114"/>
    <mergeCell ref="E110:E114"/>
    <mergeCell ref="F110:F114"/>
    <mergeCell ref="G110:G114"/>
    <mergeCell ref="H110:H113"/>
    <mergeCell ref="I110:I113"/>
    <mergeCell ref="J110:J113"/>
    <mergeCell ref="K110:K113"/>
    <mergeCell ref="L110:L112"/>
    <mergeCell ref="O121:O123"/>
    <mergeCell ref="R13:R14"/>
    <mergeCell ref="S13:S14"/>
    <mergeCell ref="M48:M50"/>
    <mergeCell ref="N48:N50"/>
    <mergeCell ref="O48:O50"/>
    <mergeCell ref="N38:N40"/>
    <mergeCell ref="D105:D109"/>
    <mergeCell ref="E105:E109"/>
    <mergeCell ref="F105:F109"/>
    <mergeCell ref="G105:G109"/>
    <mergeCell ref="H105:H108"/>
    <mergeCell ref="I105:I108"/>
    <mergeCell ref="J105:J108"/>
    <mergeCell ref="K105:K108"/>
    <mergeCell ref="L105:L107"/>
    <mergeCell ref="P53:P54"/>
    <mergeCell ref="Q53:Q54"/>
    <mergeCell ref="R53:R54"/>
    <mergeCell ref="S53:S54"/>
    <mergeCell ref="P48:P49"/>
    <mergeCell ref="Q48:Q49"/>
    <mergeCell ref="R48:R49"/>
    <mergeCell ref="S48:S49"/>
    <mergeCell ref="S28:S29"/>
    <mergeCell ref="S18:S19"/>
    <mergeCell ref="M105:M107"/>
    <mergeCell ref="N105:N107"/>
    <mergeCell ref="O105:O107"/>
    <mergeCell ref="P105:P106"/>
    <mergeCell ref="Q105:Q106"/>
    <mergeCell ref="R105:R106"/>
    <mergeCell ref="S105:S106"/>
    <mergeCell ref="O53:O55"/>
    <mergeCell ref="E77:W77"/>
    <mergeCell ref="E69:W69"/>
    <mergeCell ref="E70:W70"/>
    <mergeCell ref="E71:W71"/>
    <mergeCell ref="E72:W72"/>
    <mergeCell ref="E73:W73"/>
    <mergeCell ref="L79:L81"/>
    <mergeCell ref="M79:M81"/>
    <mergeCell ref="E75:W75"/>
    <mergeCell ref="E76:W76"/>
    <mergeCell ref="K89:K92"/>
    <mergeCell ref="E43:E47"/>
    <mergeCell ref="F43:F47"/>
    <mergeCell ref="H43:H46"/>
    <mergeCell ref="G43:G47"/>
    <mergeCell ref="G33:G37"/>
    <mergeCell ref="K33:K36"/>
    <mergeCell ref="S33:S34"/>
    <mergeCell ref="S38:S39"/>
    <mergeCell ref="S43:S44"/>
    <mergeCell ref="O33:O35"/>
    <mergeCell ref="E38:E42"/>
    <mergeCell ref="F38:F42"/>
    <mergeCell ref="H38:H41"/>
    <mergeCell ref="L33:L35"/>
    <mergeCell ref="M33:M35"/>
    <mergeCell ref="P38:P39"/>
    <mergeCell ref="Q38:Q39"/>
    <mergeCell ref="R38:R39"/>
    <mergeCell ref="P33:P34"/>
    <mergeCell ref="D38:D42"/>
    <mergeCell ref="Q33:Q34"/>
    <mergeCell ref="R33:R34"/>
    <mergeCell ref="D48:D52"/>
    <mergeCell ref="E48:E52"/>
    <mergeCell ref="F48:F52"/>
    <mergeCell ref="G48:G52"/>
    <mergeCell ref="H48:H51"/>
    <mergeCell ref="I48:I51"/>
    <mergeCell ref="J48:J51"/>
    <mergeCell ref="K48:K51"/>
    <mergeCell ref="L48:L50"/>
    <mergeCell ref="D33:D37"/>
    <mergeCell ref="E33:E37"/>
    <mergeCell ref="F33:F37"/>
    <mergeCell ref="H33:H36"/>
    <mergeCell ref="I33:I36"/>
    <mergeCell ref="N33:N35"/>
    <mergeCell ref="P43:P44"/>
    <mergeCell ref="O38:O40"/>
    <mergeCell ref="Q43:Q44"/>
    <mergeCell ref="R43:R44"/>
    <mergeCell ref="O43:O45"/>
    <mergeCell ref="J33:J36"/>
    <mergeCell ref="D53:D57"/>
    <mergeCell ref="E53:E57"/>
    <mergeCell ref="F53:F57"/>
    <mergeCell ref="H53:H56"/>
    <mergeCell ref="N43:N45"/>
    <mergeCell ref="G38:G42"/>
    <mergeCell ref="K38:K41"/>
    <mergeCell ref="G53:G57"/>
    <mergeCell ref="K53:K56"/>
    <mergeCell ref="N53:N55"/>
    <mergeCell ref="I53:I56"/>
    <mergeCell ref="J53:J56"/>
    <mergeCell ref="L53:L55"/>
    <mergeCell ref="M53:M55"/>
    <mergeCell ref="L43:L45"/>
    <mergeCell ref="M43:M45"/>
    <mergeCell ref="K43:K46"/>
    <mergeCell ref="D43:D47"/>
    <mergeCell ref="I43:I46"/>
    <mergeCell ref="J43:J46"/>
    <mergeCell ref="I38:I41"/>
    <mergeCell ref="J38:J41"/>
    <mergeCell ref="L38:L40"/>
    <mergeCell ref="M38:M40"/>
    <mergeCell ref="D18:D22"/>
    <mergeCell ref="E18:E22"/>
    <mergeCell ref="F18:F22"/>
    <mergeCell ref="Q18:Q19"/>
    <mergeCell ref="R18:R19"/>
    <mergeCell ref="M28:M30"/>
    <mergeCell ref="R28:R29"/>
    <mergeCell ref="O28:O30"/>
    <mergeCell ref="H18:H21"/>
    <mergeCell ref="I18:I21"/>
    <mergeCell ref="J18:J21"/>
    <mergeCell ref="D28:D32"/>
    <mergeCell ref="E28:E32"/>
    <mergeCell ref="F28:F32"/>
    <mergeCell ref="H28:H31"/>
    <mergeCell ref="I28:I31"/>
    <mergeCell ref="J28:J31"/>
    <mergeCell ref="G28:G32"/>
    <mergeCell ref="L18:L20"/>
    <mergeCell ref="M18:M20"/>
    <mergeCell ref="N18:N20"/>
    <mergeCell ref="D23:D27"/>
    <mergeCell ref="E23:E27"/>
    <mergeCell ref="F23:F27"/>
    <mergeCell ref="L10:M10"/>
    <mergeCell ref="P10:Q10"/>
    <mergeCell ref="L11:M11"/>
    <mergeCell ref="P11:Q11"/>
    <mergeCell ref="K28:K31"/>
    <mergeCell ref="L28:L30"/>
    <mergeCell ref="P13:P14"/>
    <mergeCell ref="P28:P29"/>
    <mergeCell ref="Q28:Q29"/>
    <mergeCell ref="P18:P19"/>
    <mergeCell ref="O18:O20"/>
    <mergeCell ref="L13:L15"/>
    <mergeCell ref="M13:M15"/>
    <mergeCell ref="N13:N15"/>
    <mergeCell ref="O13:O15"/>
    <mergeCell ref="Q13:Q14"/>
    <mergeCell ref="P23:P24"/>
    <mergeCell ref="Q23:Q24"/>
    <mergeCell ref="D5:J5"/>
    <mergeCell ref="D9:D10"/>
    <mergeCell ref="D7:J7"/>
    <mergeCell ref="G9:G10"/>
    <mergeCell ref="H9:I10"/>
    <mergeCell ref="D6:J6"/>
    <mergeCell ref="D13:D17"/>
    <mergeCell ref="E13:E17"/>
    <mergeCell ref="G13:G17"/>
    <mergeCell ref="H13:H16"/>
    <mergeCell ref="J9:J10"/>
    <mergeCell ref="H11:I11"/>
    <mergeCell ref="E9:F9"/>
    <mergeCell ref="F13:F17"/>
    <mergeCell ref="I13:I16"/>
    <mergeCell ref="J13:J16"/>
    <mergeCell ref="W9:W10"/>
    <mergeCell ref="O9:R9"/>
    <mergeCell ref="K9:N9"/>
    <mergeCell ref="T11:U11"/>
    <mergeCell ref="S9:V9"/>
    <mergeCell ref="T10:U10"/>
    <mergeCell ref="D79:D83"/>
    <mergeCell ref="E79:E83"/>
    <mergeCell ref="D84:D88"/>
    <mergeCell ref="E84:E88"/>
    <mergeCell ref="F84:F88"/>
    <mergeCell ref="G84:G88"/>
    <mergeCell ref="H84:H87"/>
    <mergeCell ref="I84:I87"/>
    <mergeCell ref="J84:J87"/>
    <mergeCell ref="F79:F83"/>
    <mergeCell ref="G79:G83"/>
    <mergeCell ref="H79:H82"/>
    <mergeCell ref="I79:I82"/>
    <mergeCell ref="J79:J82"/>
    <mergeCell ref="K13:K16"/>
    <mergeCell ref="G18:G22"/>
    <mergeCell ref="K18:K21"/>
    <mergeCell ref="N28:N30"/>
    <mergeCell ref="L89:L91"/>
    <mergeCell ref="Q84:Q85"/>
    <mergeCell ref="R84:R85"/>
    <mergeCell ref="S84:S85"/>
    <mergeCell ref="K84:K87"/>
    <mergeCell ref="K79:K82"/>
    <mergeCell ref="N84:N86"/>
    <mergeCell ref="O84:O86"/>
    <mergeCell ref="P84:P85"/>
    <mergeCell ref="S89:S90"/>
    <mergeCell ref="N89:N91"/>
    <mergeCell ref="O89:O91"/>
    <mergeCell ref="P89:P90"/>
    <mergeCell ref="Q89:Q90"/>
    <mergeCell ref="R89:R90"/>
    <mergeCell ref="L84:L86"/>
    <mergeCell ref="N79:N81"/>
    <mergeCell ref="O79:O81"/>
    <mergeCell ref="P79:P80"/>
    <mergeCell ref="Q79:Q80"/>
    <mergeCell ref="R79:R80"/>
    <mergeCell ref="S79:S80"/>
    <mergeCell ref="M84:M86"/>
    <mergeCell ref="M94:M96"/>
    <mergeCell ref="N94:N96"/>
    <mergeCell ref="O94:O96"/>
    <mergeCell ref="P94:P95"/>
    <mergeCell ref="Q94:Q95"/>
    <mergeCell ref="R94:R95"/>
    <mergeCell ref="S94:S95"/>
    <mergeCell ref="D89:D93"/>
    <mergeCell ref="E89:E93"/>
    <mergeCell ref="M89:M91"/>
    <mergeCell ref="D94:D98"/>
    <mergeCell ref="E94:E98"/>
    <mergeCell ref="F94:F98"/>
    <mergeCell ref="G94:G98"/>
    <mergeCell ref="H94:H97"/>
    <mergeCell ref="I94:I97"/>
    <mergeCell ref="J94:J97"/>
    <mergeCell ref="K94:K97"/>
    <mergeCell ref="L94:L96"/>
    <mergeCell ref="F89:F93"/>
    <mergeCell ref="G89:G93"/>
    <mergeCell ref="H89:H92"/>
    <mergeCell ref="I89:I92"/>
    <mergeCell ref="J89:J92"/>
    <mergeCell ref="S63:S64"/>
    <mergeCell ref="E58:E62"/>
    <mergeCell ref="F58:F62"/>
    <mergeCell ref="G58:G62"/>
    <mergeCell ref="H58:H61"/>
    <mergeCell ref="I58:I61"/>
    <mergeCell ref="J58:J61"/>
    <mergeCell ref="K58:K61"/>
    <mergeCell ref="L58:L60"/>
    <mergeCell ref="D58:D62"/>
    <mergeCell ref="M99:M101"/>
    <mergeCell ref="M58:M60"/>
    <mergeCell ref="N58:N60"/>
    <mergeCell ref="O58:O60"/>
    <mergeCell ref="P58:P59"/>
    <mergeCell ref="Q58:Q59"/>
    <mergeCell ref="R58:R59"/>
    <mergeCell ref="S58:S59"/>
    <mergeCell ref="D63:D67"/>
    <mergeCell ref="E63:E67"/>
    <mergeCell ref="F63:F67"/>
    <mergeCell ref="G63:G67"/>
    <mergeCell ref="H63:H66"/>
    <mergeCell ref="I63:I66"/>
    <mergeCell ref="J63:J66"/>
    <mergeCell ref="K63:K66"/>
    <mergeCell ref="L63:L65"/>
    <mergeCell ref="M63:M65"/>
    <mergeCell ref="N63:N65"/>
    <mergeCell ref="O63:O65"/>
    <mergeCell ref="P63:P64"/>
    <mergeCell ref="Q63:Q64"/>
    <mergeCell ref="R63:R64"/>
  </mergeCells>
  <dataValidations count="5">
    <dataValidation allowBlank="1" showInputMessage="1" showErrorMessage="1" prompt="Для выбора выполните двойной щелчок левой клавиши мыши по соответствующей ячейке." sqref="K38:K39 K13:K14 K48:K49 O48:O49 S48:S49 K18:K19 K43:K44 K28:K29 O38:O39 O18:O19 O43:O44 O28:O29 S38:S39 S18:S19 S43:S44 S28:S29 O13:O14 S13:S14 K33:K34 O33:O34 S33:S34 K79:K80 O79:O80 S79:S80 K84:K85 O84:O85 S84:S85 K94:K95 O94:O95 S94:S95 K89:K90 O89:O90 S53:S54 S89:S90 K53:K54 O53:O54 O131:O132 O105:O106 S105:S106 O110:O111 S110:S111 K105:K106 K110:K111 S99:S100 K126:K127 O126:O127 K121:K122 O121:O122 S126:S127 O115:O116 S121:S122 O58:O59 S58:S59 K58:K59 K63:K64 O63:O64 S63:S64 F79:F103 K99:K100 O99:O100 F105:F119 S115:S116 K115:K116 F121:F135 S131:S132 K131:K132 F13:F67 K23:K24 O23:O24 S23:S24"/>
    <dataValidation type="textLength" operator="lessThanOrEqual" allowBlank="1" showInputMessage="1" showErrorMessage="1" errorTitle="Ошибка" error="Допускается ввод не более 900 символов!" sqref="J38:J39 J13:J14 J48:J49 R48:R49 V48:W48 J18:J19 J43:J44 J28:J29 R38:R39 R13:R14 R18:R19 R43:R44 R28:R29 V38:W38 V13:W13 V18:W18 V43:W43 V28:W28 J33:J34 R33:R34 V33:W33 J79:J80 R79:R80 V79:W79 J84:J85 R84:R85 V84:W84 J94:J95 R94:R95 V94:W94 J89:J90 R89:R90 V89:W89 J53:J54 R53:R54 V53:W53 J105:J106 R105:R106 V105:W105 J110:J111 R110:R111 V110:W110 J126:J127 R126:R127 V126:W126 J121:J122 R121:R122 V121:W121 J58:J59 R58:R59 V58:W58 J63:J64 R63:R64 V63:W63 J99:J100 R99:R100 V99:W99 J115:J116 R115:R116 V115:W115 J131:J132 R131:R132 V131:W131 J23:J24 R23:R24 V23:W23">
      <formula1>900</formula1>
    </dataValidation>
    <dataValidation type="list" allowBlank="1" showInputMessage="1" showErrorMessage="1" errorTitle="Ошибка" error="Выберите значение из списка"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48:N50 N18:N20 N43:N45 N28:N30 N38:N40 N13:N15 N33:N35 N79:N81 N94:N96 N84:N86 N89:N91 N53:N55 N105:N107 N110:N112 N126:N128 N121:N123 N58:N60 N63:N65 N99:N101 N115:N117 N131:N133 N23:N25">
      <formula1>DESCRIPTION_TERRITORY</formula1>
    </dataValidation>
    <dataValidation allowBlank="1" showInputMessage="1" showErrorMessage="1" prompt="Выберите виды деятельности, выполнив двойной щелчок левой кнопки мыши по ячейке." sqref="G105:G119 G121:G135 G79:G103 G13:G67"/>
    <dataValidation type="list" allowBlank="1" showInputMessage="1" showErrorMessage="1" errorTitle="Ошибка" error="Выберите значение из списка" prompt="Выберите значение из списка" sqref="E18:E22">
      <formula1>kind_of_tariff_RHEAT</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5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EC23B23-0976-124F-BBBF-A592C58EDA03}" mc:Ignorable="x14ac xr xr2 xr3">
  <sheetPr>
    <tabColor theme="2" tint="-0.1"/>
  </sheetPr>
  <dimension ref="A1:X30"/>
  <sheetViews>
    <sheetView showGridLines="0" zoomScale="90" workbookViewId="0">
      <pane xSplit="8" ySplit="18" topLeftCell="K19" activePane="bottomRight" state="frozen"/>
      <selection pane="bottomLeft" activeCell="A19" sqref="A19"/>
      <selection pane="topRight" activeCell="I1" sqref="I1"/>
      <selection pane="bottomRight" activeCell="K8" sqref="K8"/>
    </sheetView>
  </sheetViews>
  <sheetFormatPr defaultColWidth="10.57421875" customHeight="1" defaultRowHeight="15"/>
  <cols>
    <col min="1" max="1" style="1632" width="9.140625" hidden="1" customWidth="1"/>
    <col min="2" max="2" style="1635" width="9.140625" hidden="1" customWidth="1"/>
    <col min="3" max="3" style="683" width="4.00390625" customWidth="1"/>
    <col min="4" max="4" style="1635" width="6.00390625" customWidth="1"/>
    <col min="5" max="5" style="1635" width="47.00390625" customWidth="1"/>
    <col min="6" max="6" style="1635" width="9.00390625" customWidth="1"/>
    <col min="7" max="7" style="1635" width="25.7109375" hidden="1" customWidth="1"/>
    <col min="8" max="8" style="1635" width="34.00390625" hidden="1" customWidth="1"/>
    <col min="9" max="9" style="1635" width="25.7109375" customWidth="1"/>
    <col min="10" max="10" style="1635" width="33.00390625" customWidth="1"/>
    <col min="11" max="11" style="1635" width="25.7109375" customWidth="1"/>
    <col min="12" max="12" style="1635" width="34.00390625" customWidth="1"/>
    <col min="13" max="13" style="1366" width="50.00390625" customWidth="1"/>
    <col min="14" max="22" style="1635" width="10.00390625" customWidth="1"/>
    <col min="23" max="23" style="675" width="10.00390625" customWidth="1"/>
    <col min="24" max="24" style="1635" width="10.57421875" hidden="1"/>
  </cols>
  <sheetData>
    <row s="1366" customFormat="1" customHeight="1" ht="22.5" hidden="1">
      <c r="C1" s="672"/>
      <c r="G1" s="417">
        <v>4</v>
      </c>
      <c r="I1" s="417">
        <v>4</v>
      </c>
      <c r="K1" s="1366">
        <v>4</v>
      </c>
      <c r="L1" s="1366"/>
      <c r="W1" s="420"/>
      <c r="X1" s="417" t="s">
        <v>14</v>
      </c>
    </row>
    <row s="1635" customFormat="1" customHeight="1" ht="15" hidden="1">
      <c r="A2" s="362"/>
      <c r="C2" s="176"/>
      <c r="D2" s="346"/>
      <c r="E2" s="673"/>
      <c r="F2" s="522"/>
      <c r="G2" s="616"/>
      <c r="H2" s="616"/>
      <c r="I2" s="616"/>
      <c r="J2" s="616"/>
      <c r="K2" s="616"/>
      <c r="L2" s="616"/>
      <c r="W2" s="674"/>
      <c r="X2" s="509">
        <v>0</v>
      </c>
    </row>
    <row s="1366" customFormat="1" customHeight="1" ht="15" hidden="1">
      <c r="C3" s="672"/>
      <c r="K3" s="1366"/>
      <c r="L3" s="1366"/>
      <c r="W3" s="420"/>
      <c r="X3" s="417">
        <v>0</v>
      </c>
    </row>
    <row customHeight="1" ht="15.75">
      <c r="C4" s="176"/>
      <c r="D4" s="509"/>
      <c r="E4" s="509"/>
      <c r="F4" s="509"/>
      <c r="G4" s="509"/>
      <c r="H4" s="509"/>
      <c r="I4" s="509"/>
      <c r="J4" s="509"/>
      <c r="K4" s="1635"/>
      <c r="L4" s="1635"/>
      <c r="X4" s="505">
        <v>15</v>
      </c>
    </row>
    <row customHeight="1" ht="66">
      <c r="C5" s="176"/>
      <c r="D5" s="2237" t="s">
        <v>1158</v>
      </c>
      <c r="E5" s="2237"/>
      <c r="F5" s="2237"/>
      <c r="G5" s="2237"/>
      <c r="H5" s="2237"/>
      <c r="I5" s="2237"/>
      <c r="J5" s="2237"/>
      <c r="K5" s="2248"/>
      <c r="L5" s="2248"/>
      <c r="X5" s="505">
        <v>63</v>
      </c>
    </row>
    <row customHeight="1" ht="15.75">
      <c r="C6" s="176"/>
      <c r="D6" s="2176" t="str">
        <f>IF(org=0,"Не определено",org)</f>
        <v>ПАО "ОГК-2"</v>
      </c>
      <c r="E6" s="2176"/>
      <c r="F6" s="2176"/>
      <c r="G6" s="2176"/>
      <c r="H6" s="2176"/>
      <c r="I6" s="2176"/>
      <c r="J6" s="2176"/>
      <c r="K6" s="2249"/>
      <c r="L6" s="2249"/>
      <c r="M6" s="537"/>
      <c r="X6" s="505">
        <v>15</v>
      </c>
    </row>
    <row customHeight="1" ht="15.75">
      <c r="C7" s="176"/>
      <c r="D7" s="752"/>
      <c r="E7" s="509"/>
      <c r="F7" s="509"/>
      <c r="G7" s="537">
        <v>22</v>
      </c>
      <c r="I7" s="537">
        <v>1</v>
      </c>
      <c r="J7" s="752"/>
      <c r="K7" s="1366" t="s">
        <v>22</v>
      </c>
      <c r="L7" s="1635"/>
      <c r="X7" s="505">
        <v>15</v>
      </c>
    </row>
    <row s="1635" customFormat="1" customHeight="1" ht="1.05">
      <c r="A8" s="759"/>
      <c r="C8" s="176"/>
      <c r="D8" s="509"/>
      <c r="E8" s="509"/>
      <c r="F8" s="509"/>
      <c r="G8" s="537"/>
      <c r="H8" s="752"/>
      <c r="I8" s="537" t="s">
        <v>117</v>
      </c>
      <c r="J8" s="752"/>
      <c r="K8" s="1366" t="s">
        <v>123</v>
      </c>
      <c r="L8" s="752"/>
      <c r="M8" s="417"/>
      <c r="W8" s="675"/>
      <c r="X8" s="758">
        <v>1</v>
      </c>
    </row>
    <row customHeight="1" ht="15.75">
      <c r="C9" s="176"/>
      <c r="D9" s="711"/>
      <c r="E9" s="2367" t="s">
        <v>105</v>
      </c>
      <c r="F9" s="2368"/>
      <c r="G9" s="2395" t="str">
        <f>IF(G8="","",INDEX(DIFFERENTIATION_UNMERGE_VD,MATCH(G8,DIFFERENTIATION_ID_DIFF,0)))</f>
        <v/>
      </c>
      <c r="H9" s="2396"/>
      <c r="I9" s="2395" t="str">
        <f>IF(I8="","",INDEX(DIFFERENTIATION_UNMERGE_VD,MATCH(I8,DIFFERENTIATION_ID_DIFF,0)))</f>
        <v>Производство тепловой энергии. Некомбинированная выработка</v>
      </c>
      <c r="J9" s="2396"/>
      <c r="K9" s="2395" t="str">
        <f>IF(K8="","",INDEX(DIFFERENTIATION_UNMERGE_VD,MATCH(K8,DIFFERENTIATION_ID_DIFF,0)))</f>
        <v>Производство. Теплоноситель</v>
      </c>
      <c r="L9" s="2396"/>
      <c r="M9" s="2175" t="s">
        <v>303</v>
      </c>
      <c r="X9" s="505">
        <v>15</v>
      </c>
    </row>
    <row s="1635" customFormat="1" customHeight="1" ht="15.75">
      <c r="A10" s="759"/>
      <c r="C10" s="176"/>
      <c r="D10" s="711"/>
      <c r="E10" s="2367" t="s">
        <v>566</v>
      </c>
      <c r="F10" s="2368"/>
      <c r="G10" s="2395" t="str">
        <f>IF(G8="","",INDEX(DIFFERENTIATION_UNMERGE_AREA,MATCH(G8,DIFFERENTIATION_ID_DIFF,0)))</f>
        <v/>
      </c>
      <c r="H10" s="2396"/>
      <c r="I10" s="2395" t="str">
        <f>IF(I8="","",INDEX(DIFFERENTIATION_UNMERGE_AREA,MATCH(I8,DIFFERENTIATION_ID_DIFF,0)))</f>
        <v>без дифференциации</v>
      </c>
      <c r="J10" s="2396"/>
      <c r="K10" s="2395" t="str">
        <f>IF(K8="","",INDEX(DIFFERENTIATION_UNMERGE_AREA,MATCH(K8,DIFFERENTIATION_ID_DIFF,0)))</f>
        <v>без дифференциации</v>
      </c>
      <c r="L10" s="2396"/>
      <c r="M10" s="2199"/>
      <c r="W10" s="675"/>
      <c r="X10" s="758">
        <v>15</v>
      </c>
    </row>
    <row s="1635" customFormat="1" customHeight="1" ht="15.75">
      <c r="A11" s="759"/>
      <c r="C11" s="176"/>
      <c r="D11" s="711"/>
      <c r="E11" s="2367" t="s">
        <v>567</v>
      </c>
      <c r="F11" s="2368"/>
      <c r="G11" s="2395" t="str">
        <f>IF(G8="","",INDEX(DIFFERENTIATION_UNMERGE_SYSTEM,MATCH(G8,DIFFERENTIATION_ID_DIFF,0)))</f>
        <v/>
      </c>
      <c r="H11" s="2396"/>
      <c r="I11" s="2395" t="str">
        <f>IF(I8="","",INDEX(DIFFERENTIATION_UNMERGE_SYSTEM,MATCH(I8,DIFFERENTIATION_ID_DIFF,0)))</f>
        <v>без дифференциации</v>
      </c>
      <c r="J11" s="2396"/>
      <c r="K11" s="2395" t="str">
        <f>IF(K8="","",INDEX(DIFFERENTIATION_UNMERGE_SYSTEM,MATCH(K8,DIFFERENTIATION_ID_DIFF,0)))</f>
        <v>без дифференциации</v>
      </c>
      <c r="L11" s="2396"/>
      <c r="M11" s="2199"/>
      <c r="W11" s="675"/>
      <c r="X11" s="758">
        <v>15</v>
      </c>
    </row>
    <row s="1635" customFormat="1" customHeight="1" ht="15.75">
      <c r="A12" s="759"/>
      <c r="C12" s="176"/>
      <c r="D12" s="2369" t="s">
        <v>302</v>
      </c>
      <c r="E12" s="2370"/>
      <c r="F12" s="2370"/>
      <c r="G12" s="887"/>
      <c r="H12" s="887"/>
      <c r="I12" s="887"/>
      <c r="J12" s="887"/>
      <c r="K12" s="2367"/>
      <c r="L12" s="2367"/>
      <c r="M12" s="2199"/>
      <c r="W12" s="675"/>
      <c r="X12" s="758">
        <v>15</v>
      </c>
    </row>
    <row customHeight="1" ht="35.699999999999996">
      <c r="C13" s="176"/>
      <c r="D13" s="805" t="s">
        <v>88</v>
      </c>
      <c r="E13" s="807" t="s">
        <v>304</v>
      </c>
      <c r="F13" s="807" t="s">
        <v>568</v>
      </c>
      <c r="G13" s="808" t="s">
        <v>305</v>
      </c>
      <c r="H13" s="807" t="s">
        <v>392</v>
      </c>
      <c r="I13" s="808" t="s">
        <v>305</v>
      </c>
      <c r="J13" s="807" t="s">
        <v>392</v>
      </c>
      <c r="K13" s="2262" t="s">
        <v>305</v>
      </c>
      <c r="L13" s="2312" t="s">
        <v>392</v>
      </c>
      <c r="M13" s="2232"/>
      <c r="X13" s="505">
        <v>34</v>
      </c>
    </row>
    <row customHeight="1" ht="15" hidden="1">
      <c r="C14" s="176"/>
      <c r="D14" s="593" t="s">
        <v>109</v>
      </c>
      <c r="E14" s="593" t="s">
        <v>110</v>
      </c>
      <c r="F14" s="593" t="s">
        <v>90</v>
      </c>
      <c r="G14" s="659" t="str">
        <f>G1&amp;".1"</f>
        <v>4.1</v>
      </c>
      <c r="H14" s="659"/>
      <c r="I14" s="659" t="str">
        <f>I1&amp;".1"</f>
        <v>4.1</v>
      </c>
      <c r="J14" s="659"/>
      <c r="K14" s="683" t="str">
        <f>K1&amp;".1"</f>
        <v>4.1</v>
      </c>
      <c r="L14" s="683"/>
      <c r="M14" s="289"/>
      <c r="X14" s="505">
        <v>0</v>
      </c>
    </row>
    <row customHeight="1" ht="22.5" hidden="1">
      <c r="A15" s="505"/>
      <c r="C15" s="526"/>
      <c r="D15" s="521">
        <v>1</v>
      </c>
      <c r="E15" s="677" t="s">
        <v>811</v>
      </c>
      <c r="F15" s="521" t="s">
        <v>812</v>
      </c>
      <c r="G15" s="678"/>
      <c r="H15" s="678"/>
      <c r="I15" s="678"/>
      <c r="J15" s="678"/>
      <c r="K15" s="678"/>
      <c r="L15" s="678"/>
      <c r="M15" s="289" t="s">
        <v>813</v>
      </c>
      <c r="X15" s="505">
        <v>0</v>
      </c>
    </row>
    <row customHeight="1" ht="22.5" hidden="1">
      <c r="A16" s="505"/>
      <c r="C16" s="526"/>
      <c r="D16" s="521">
        <v>2</v>
      </c>
      <c r="E16" s="279" t="s">
        <v>814</v>
      </c>
      <c r="F16" s="521" t="s">
        <v>815</v>
      </c>
      <c r="G16" s="678"/>
      <c r="H16" s="678"/>
      <c r="I16" s="678"/>
      <c r="J16" s="678"/>
      <c r="K16" s="678"/>
      <c r="L16" s="678"/>
      <c r="M16" s="289" t="s">
        <v>816</v>
      </c>
      <c r="X16" s="505">
        <v>0</v>
      </c>
    </row>
    <row customHeight="1" ht="123.75" hidden="1">
      <c r="A17" s="505"/>
      <c r="C17" s="526"/>
      <c r="D17" s="521">
        <v>3</v>
      </c>
      <c r="E17" s="279" t="s">
        <v>1159</v>
      </c>
      <c r="F17" s="521" t="s">
        <v>308</v>
      </c>
      <c r="G17" s="678"/>
      <c r="H17" s="678"/>
      <c r="I17" s="678"/>
      <c r="J17" s="678"/>
      <c r="K17" s="678"/>
      <c r="L17" s="678"/>
      <c r="M17" s="289" t="s">
        <v>1160</v>
      </c>
      <c r="X17" s="505">
        <v>0</v>
      </c>
    </row>
    <row customHeight="1" ht="48.29999999999999">
      <c r="A18" s="505"/>
      <c r="C18" s="526"/>
      <c r="D18" s="521">
        <v>3</v>
      </c>
      <c r="E18" s="279" t="s">
        <v>817</v>
      </c>
      <c r="F18" s="521" t="s">
        <v>308</v>
      </c>
      <c r="G18" s="809" t="s">
        <v>308</v>
      </c>
      <c r="H18" s="810" t="s">
        <v>308</v>
      </c>
      <c r="I18" s="521" t="s">
        <v>308</v>
      </c>
      <c r="J18" s="578" t="s">
        <v>308</v>
      </c>
      <c r="K18" s="2312" t="s">
        <v>308</v>
      </c>
      <c r="L18" s="2260" t="s">
        <v>308</v>
      </c>
      <c r="M18" s="289" t="s">
        <v>1161</v>
      </c>
      <c r="X18" s="505">
        <v>46</v>
      </c>
    </row>
    <row customHeight="1" ht="35.699999999999996">
      <c r="A19" s="505"/>
      <c r="C19" s="526"/>
      <c r="D19" s="539" t="s">
        <v>326</v>
      </c>
      <c r="E19" s="559" t="s">
        <v>819</v>
      </c>
      <c r="F19" s="521" t="s">
        <v>820</v>
      </c>
      <c r="G19" s="817"/>
      <c r="H19" s="106"/>
      <c r="I19" s="817"/>
      <c r="J19" s="818"/>
      <c r="K19" s="817"/>
      <c r="L19" s="2501"/>
      <c r="M19" s="679"/>
      <c r="X19" s="505">
        <v>34</v>
      </c>
    </row>
    <row customHeight="1" ht="35.699999999999996">
      <c r="A20" s="505"/>
      <c r="C20" s="526"/>
      <c r="D20" s="1890" t="s">
        <v>334</v>
      </c>
      <c r="E20" s="559" t="s">
        <v>821</v>
      </c>
      <c r="F20" s="521" t="s">
        <v>822</v>
      </c>
      <c r="G20" s="817"/>
      <c r="H20" s="106"/>
      <c r="I20" s="817"/>
      <c r="J20" s="106"/>
      <c r="K20" s="817"/>
      <c r="L20" s="2501"/>
      <c r="M20" s="679"/>
      <c r="X20" s="505">
        <v>34</v>
      </c>
    </row>
    <row customHeight="1" ht="48.29999999999999">
      <c r="A21" s="505"/>
      <c r="C21" s="526"/>
      <c r="D21" s="1890" t="s">
        <v>336</v>
      </c>
      <c r="E21" s="559" t="s">
        <v>823</v>
      </c>
      <c r="F21" s="521" t="s">
        <v>573</v>
      </c>
      <c r="G21" s="680"/>
      <c r="H21" s="106"/>
      <c r="I21" s="680"/>
      <c r="J21" s="106"/>
      <c r="K21" s="680"/>
      <c r="L21" s="2501"/>
      <c r="M21" s="679"/>
      <c r="X21" s="505">
        <v>46</v>
      </c>
    </row>
    <row customHeight="1" ht="67.5" hidden="1">
      <c r="A22" s="505"/>
      <c r="C22" s="526"/>
      <c r="D22" s="521">
        <v>5</v>
      </c>
      <c r="E22" s="279" t="s">
        <v>1162</v>
      </c>
      <c r="F22" s="521" t="s">
        <v>560</v>
      </c>
      <c r="G22" s="681"/>
      <c r="H22" s="682"/>
      <c r="I22" s="681"/>
      <c r="J22" s="682"/>
      <c r="K22" s="681"/>
      <c r="L22" s="1439"/>
      <c r="M22" s="289" t="s">
        <v>1163</v>
      </c>
      <c r="X22" s="505">
        <v>0</v>
      </c>
    </row>
    <row customHeight="1" ht="33.75" hidden="1">
      <c r="C23" s="451"/>
      <c r="D23" s="521">
        <v>6</v>
      </c>
      <c r="E23" s="279" t="s">
        <v>1164</v>
      </c>
      <c r="F23" s="521" t="s">
        <v>1165</v>
      </c>
      <c r="G23" s="681"/>
      <c r="H23" s="681"/>
      <c r="I23" s="681"/>
      <c r="J23" s="681"/>
      <c r="K23" s="681"/>
      <c r="L23" s="681"/>
      <c r="M23" s="289" t="s">
        <v>1166</v>
      </c>
      <c r="X23" s="505">
        <v>0</v>
      </c>
    </row>
    <row customHeight="1" ht="15.75">
      <c r="K24" s="1635"/>
      <c r="L24" s="1635"/>
      <c r="X24" s="505">
        <v>15</v>
      </c>
    </row>
    <row customHeight="1" ht="15.75">
      <c r="K25" s="1635"/>
      <c r="L25" s="1635"/>
      <c r="X25" s="505">
        <v>15</v>
      </c>
    </row>
    <row customHeight="1" ht="15.75">
      <c r="K26" s="1635"/>
      <c r="L26" s="1635"/>
      <c r="X26" s="505">
        <v>15</v>
      </c>
    </row>
    <row customHeight="1" ht="15.75">
      <c r="K27" s="1635"/>
      <c r="L27" s="1635"/>
      <c r="X27" s="505">
        <v>15</v>
      </c>
    </row>
    <row customHeight="1" ht="15.75">
      <c r="K28" s="1635"/>
      <c r="L28" s="1635"/>
      <c r="X28" s="505">
        <v>15</v>
      </c>
    </row>
    <row customHeight="1" ht="15.75">
      <c r="J29" s="819"/>
      <c r="K29" s="1635"/>
      <c r="L29" s="1635"/>
      <c r="X29" s="505">
        <v>15</v>
      </c>
    </row>
    <row customHeight="1" ht="22.5" hidden="1">
      <c r="A30" s="449" t="s">
        <v>82</v>
      </c>
      <c r="B30" s="505">
        <v>0</v>
      </c>
      <c r="C30" s="683">
        <v>4</v>
      </c>
      <c r="D30" s="505">
        <v>6</v>
      </c>
      <c r="E30" s="505">
        <v>47</v>
      </c>
      <c r="F30" s="505">
        <v>9</v>
      </c>
      <c r="G30" s="758">
        <v>0</v>
      </c>
      <c r="H30" s="758">
        <v>0</v>
      </c>
      <c r="I30" s="505">
        <v>25</v>
      </c>
      <c r="J30" s="505">
        <v>33</v>
      </c>
      <c r="K30" s="1635">
        <v>0</v>
      </c>
      <c r="L30" s="1635">
        <v>0</v>
      </c>
      <c r="M30" s="417">
        <v>50</v>
      </c>
      <c r="N30" s="505">
        <v>10</v>
      </c>
      <c r="O30" s="505">
        <v>10</v>
      </c>
      <c r="P30" s="505">
        <v>10</v>
      </c>
      <c r="Q30" s="505">
        <v>10</v>
      </c>
      <c r="R30" s="505">
        <v>10</v>
      </c>
      <c r="S30" s="505">
        <v>10</v>
      </c>
      <c r="T30" s="505">
        <v>10</v>
      </c>
      <c r="U30" s="505">
        <v>10</v>
      </c>
      <c r="V30" s="505">
        <v>10</v>
      </c>
      <c r="W30" s="675">
        <v>10</v>
      </c>
      <c r="X30" s="505">
        <v>23</v>
      </c>
    </row>
  </sheetData>
  <sheetProtection formatColumns="0" formatRows="0" autoFilter="0" sort="0" insertRows="0" insertColumns="1" deleteRows="0" deleteColumns="0"/>
  <mergeCells count="16">
    <mergeCell ref="D5:J5"/>
    <mergeCell ref="D6:J6"/>
    <mergeCell ref="M9:M13"/>
    <mergeCell ref="I9:J9"/>
    <mergeCell ref="E9:F9"/>
    <mergeCell ref="E10:F10"/>
    <mergeCell ref="E11:F11"/>
    <mergeCell ref="I10:J10"/>
    <mergeCell ref="I11:J11"/>
    <mergeCell ref="G9:H9"/>
    <mergeCell ref="G10:H10"/>
    <mergeCell ref="G11:H11"/>
    <mergeCell ref="D12:F12"/>
    <mergeCell ref="K9:L9"/>
    <mergeCell ref="K10:L10"/>
    <mergeCell ref="K11:L11"/>
  </mergeCells>
  <dataValidations count="4">
    <dataValidation type="textLength" operator="lessThanOrEqual" allowBlank="1" showInputMessage="1" showErrorMessage="1" errorTitle="Ошибка" error="Допускается ввод не более 900 символов!" sqref="H19:H21 J19:J21 L19:L21">
      <formula1>900</formula1>
    </dataValidation>
    <dataValidation type="whole" allowBlank="1" showErrorMessage="1" errorTitle="Ошибка" error="Допускается ввод только неотрицательных целых чисел!" sqref="G19:G20 I19:I20 K19 K20">
      <formula1>0</formula1>
      <formula2>9.99999999999999E+23</formula2>
    </dataValidation>
    <dataValidation allowBlank="1" showInputMessage="1" showErrorMessage="1" prompt="Количество поданных заявок на подключение (технологическое присоединение) к системе теплоснабжения в течение квартала, шт." sqref="E15 E13"/>
    <dataValidation type="decimal" allowBlank="1" showErrorMessage="1" errorTitle="Ошибка" error="Допускается ввод только неотрицательных чисел!" sqref="G21 I21 K21">
      <formula1>0</formula1>
      <formula2>9.99999999999999E+23</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51.xml><?xml version="1.0" encoding="utf-8"?>
<worksheet xmlns="http://schemas.openxmlformats.org/spreadsheetml/2006/main" xmlns:r="http://schemas.openxmlformats.org/officeDocument/2006/relationships" xmlns:mc="http://schemas.openxmlformats.org/markup-compatibility/2006" xmlns:xdr="http://schemas.openxmlformats.org/drawingml/2006/spreadsheetDrawing" xmlns:x14ac="http://schemas.microsoft.com/office/spreadsheetml/2009/9/ac" xmlns:xr="http://schemas.microsoft.com/office/spreadsheetml/2014/revision" xmlns:xr2="http://schemas.microsoft.com/office/spreadsheetml/2015/revision2" xmlns:xr3="http://schemas.microsoft.com/office/spreadsheetml/2016/revision3" xr:uid="{05D3103F-C1E2-613B-E72C-5430925A96FF}" mc:Ignorable="x14ac xr xr2 xr3">
  <sheetPr>
    <tabColor rgb="FFFFCC99"/>
  </sheetPr>
  <dimension ref="A1:EL118"/>
  <sheetViews>
    <sheetView topLeftCell="A1" showGridLines="0" workbookViewId="0">
      <selection activeCell="A1" sqref="A1"/>
    </sheetView>
  </sheetViews>
  <sheetFormatPr defaultColWidth="9.140625" customHeight="1" defaultRowHeight="11.25"/>
  <cols>
    <col min="1" max="1" style="1202" width="32.57421875" customWidth="1"/>
    <col min="2" max="2" style="1850" width="11.00390625" customWidth="1"/>
    <col min="3" max="3" style="1850" width="9.140625"/>
    <col min="4" max="4" style="1850" width="26.57421875" customWidth="1"/>
    <col min="5" max="5" style="1823" width="36.8515625" customWidth="1"/>
    <col min="6" max="6" style="1823" width="23.57421875" customWidth="1"/>
    <col min="7" max="7" style="1823" width="31.421875" customWidth="1"/>
    <col min="8" max="8" style="1823" width="40.8515625" customWidth="1"/>
    <col min="9" max="9" style="1823" width="14.57421875" customWidth="1"/>
    <col min="10" max="10" style="1823" width="26.8515625" customWidth="1"/>
    <col min="11" max="11" style="1823" width="50.00390625" customWidth="1"/>
    <col min="12" max="12" style="1823" width="52.421875" customWidth="1"/>
    <col min="13" max="13" style="1823" width="10.7109375" customWidth="1"/>
    <col min="14" max="14" style="1823" width="55.140625" customWidth="1"/>
    <col min="15" max="15" style="1823" width="31.8515625" customWidth="1"/>
    <col min="16" max="16" style="1823" width="23.8515625" customWidth="1"/>
    <col min="17" max="17" style="1823" width="46.57421875" customWidth="1"/>
    <col min="18" max="18" style="1823" width="24.00390625" customWidth="1"/>
    <col min="19" max="19" style="1823" width="20.57421875" customWidth="1"/>
    <col min="20" max="20" style="1823" width="22.00390625" customWidth="1"/>
    <col min="21" max="22" style="1823" width="26.421875" customWidth="1"/>
    <col min="23" max="23" style="1823" width="8.28125" hidden="1" customWidth="1"/>
    <col min="24" max="24" style="1823" width="59.7109375" customWidth="1"/>
    <col min="25" max="25" style="1823" width="49.140625" customWidth="1"/>
    <col min="26" max="26" style="1823" width="11.140625" customWidth="1"/>
    <col min="27" max="30" style="1823" width="29.00390625" customWidth="1"/>
    <col min="31" max="31" style="1823" width="9.140625"/>
    <col min="32" max="32" style="1823" width="34.7109375" customWidth="1"/>
    <col min="33" max="33" style="1823" width="9.140625"/>
    <col min="34" max="35" style="1823" width="34.421875" customWidth="1"/>
    <col min="36" max="36" style="1823" width="9.140625"/>
    <col min="37" max="37" style="1823" width="24.57421875" customWidth="1"/>
    <col min="38" max="38" style="1823" width="9.140625"/>
    <col min="39" max="39" style="1823" width="26.140625" customWidth="1"/>
    <col min="40" max="40" style="1823" width="1.7109375" customWidth="1"/>
    <col min="41" max="41" style="1823" width="9.140625"/>
    <col min="42" max="43" style="1823" width="47.8515625" customWidth="1"/>
    <col min="44" max="44" style="1823" width="1.7109375" customWidth="1"/>
    <col min="45" max="45" style="1823" width="21.421875" customWidth="1"/>
    <col min="46" max="46" style="1823" width="1.7109375" customWidth="1"/>
    <col min="47" max="47" style="1823" width="31.28125" customWidth="1"/>
    <col min="48" max="48" style="1823" width="1.7109375" customWidth="1"/>
    <col min="49" max="50" style="1823" width="9.140625"/>
    <col min="51" max="51" style="1823" width="3.7109375" customWidth="1"/>
    <col min="52" max="52" style="1823" width="60.8515625" customWidth="1"/>
    <col min="53" max="53" style="1823" width="49.28125" customWidth="1"/>
    <col min="54" max="54" style="1823" width="35.140625" customWidth="1"/>
    <col min="55" max="55" style="1823" width="9.140625"/>
    <col min="56" max="56" style="1823" width="1.7109375" customWidth="1"/>
    <col min="57" max="57" style="1066" width="12.57421875" customWidth="1"/>
    <col min="58" max="58" style="1066" width="14.28125" customWidth="1"/>
    <col min="59" max="59" style="1823" width="30.7109375" customWidth="1"/>
    <col min="60" max="60" style="1840" width="40.7109375" customWidth="1"/>
    <col min="61" max="61" style="1840" width="15.00390625" customWidth="1"/>
    <col min="62" max="62" style="1840" width="40.7109375" customWidth="1"/>
    <col min="63" max="63" style="1840" width="2.7109375" customWidth="1"/>
    <col min="64" max="64" style="1840" width="44.7109375" customWidth="1"/>
    <col min="65" max="65" style="1840" width="2.7109375" customWidth="1"/>
    <col min="66" max="66" style="1840" width="40.7109375" customWidth="1"/>
    <col min="67" max="68" style="1823" width="9.140625"/>
    <col min="69" max="69" style="1823" width="18.140625" customWidth="1"/>
    <col min="70" max="70" style="1823" width="57.8515625" customWidth="1"/>
    <col min="71" max="71" style="1823" width="1.7109375" customWidth="1"/>
    <col min="72" max="72" style="1823" width="22.57421875" customWidth="1"/>
    <col min="73" max="73" style="1823" width="57.8515625" customWidth="1"/>
    <col min="74" max="74" style="1823" width="1.7109375" customWidth="1"/>
    <col min="75" max="75" style="1823" width="22.57421875" customWidth="1"/>
    <col min="76" max="76" style="1823" width="57.8515625" customWidth="1"/>
    <col min="77" max="77" style="1823" width="1.7109375" customWidth="1"/>
    <col min="78" max="78" style="1823" width="22.57421875" customWidth="1"/>
    <col min="79" max="79" style="1823" width="57.8515625" customWidth="1"/>
    <col min="80" max="81" style="1823" width="9.140625"/>
    <col min="82" max="82" style="1823" width="49.57421875" customWidth="1"/>
  </cols>
  <sheetData>
    <row s="1427" customFormat="1" customHeight="1" ht="11.25">
      <c r="A1" s="1067" t="s">
        <v>1167</v>
      </c>
      <c r="B1" s="1067" t="s">
        <v>1168</v>
      </c>
      <c r="C1" s="1067" t="s">
        <v>1169</v>
      </c>
      <c r="D1" s="1067" t="s">
        <v>1170</v>
      </c>
      <c r="E1" s="1067" t="s">
        <v>1171</v>
      </c>
      <c r="F1" s="1067" t="s">
        <v>1172</v>
      </c>
      <c r="G1" s="1067" t="s">
        <v>1173</v>
      </c>
      <c r="H1" s="1067" t="s">
        <v>1174</v>
      </c>
      <c r="I1" s="1067" t="s">
        <v>1175</v>
      </c>
      <c r="J1" s="1067" t="s">
        <v>1176</v>
      </c>
      <c r="K1" s="1067" t="s">
        <v>1177</v>
      </c>
      <c r="L1" s="1067" t="s">
        <v>1178</v>
      </c>
      <c r="M1" s="1067"/>
      <c r="N1" s="1067" t="s">
        <v>1179</v>
      </c>
      <c r="O1" s="1067" t="s">
        <v>1180</v>
      </c>
      <c r="P1" s="1067" t="s">
        <v>1181</v>
      </c>
      <c r="Q1" s="1067" t="s">
        <v>1182</v>
      </c>
      <c r="R1" s="1067" t="s">
        <v>1183</v>
      </c>
      <c r="S1" s="1067" t="s">
        <v>1184</v>
      </c>
      <c r="T1" s="1067" t="s">
        <v>1185</v>
      </c>
      <c r="U1" s="1067" t="s">
        <v>1186</v>
      </c>
      <c r="V1" s="1067"/>
      <c r="W1" s="797" t="s">
        <v>1187</v>
      </c>
      <c r="X1" s="1067" t="s">
        <v>1188</v>
      </c>
      <c r="Y1" s="1067" t="s">
        <v>1189</v>
      </c>
      <c r="Z1" s="1067"/>
      <c r="AA1" s="1067" t="s">
        <v>1190</v>
      </c>
      <c r="AB1" s="1067"/>
      <c r="AC1" s="1067" t="s">
        <v>1191</v>
      </c>
      <c r="AD1" s="1067"/>
      <c r="AF1" s="1067" t="s">
        <v>1192</v>
      </c>
      <c r="AH1" s="1067" t="s">
        <v>1193</v>
      </c>
      <c r="AI1" s="1067" t="s">
        <v>1194</v>
      </c>
      <c r="AK1" s="1067" t="s">
        <v>1195</v>
      </c>
      <c r="AM1" s="1067" t="s">
        <v>1196</v>
      </c>
      <c r="AP1" s="1067" t="s">
        <v>1197</v>
      </c>
      <c r="AQ1" s="1067" t="s">
        <v>1198</v>
      </c>
      <c r="AS1" s="1067" t="s">
        <v>1199</v>
      </c>
      <c r="AU1" s="1067" t="s">
        <v>1200</v>
      </c>
      <c r="AW1" s="1067" t="s">
        <v>1201</v>
      </c>
      <c r="AX1" s="1067" t="s">
        <v>1202</v>
      </c>
      <c r="AZ1" s="1152" t="s">
        <v>1203</v>
      </c>
      <c r="BB1" s="1067" t="s">
        <v>1204</v>
      </c>
      <c r="BC1" s="1067"/>
      <c r="BE1" s="1067" t="s">
        <v>1205</v>
      </c>
      <c r="BF1" s="1067" t="s">
        <v>1206</v>
      </c>
      <c r="BH1" s="1069" t="s">
        <v>810</v>
      </c>
      <c r="BI1" s="1070"/>
      <c r="BJ1" s="1071" t="s">
        <v>1207</v>
      </c>
      <c r="BK1" s="1070"/>
      <c r="BL1" s="1072" t="s">
        <v>909</v>
      </c>
      <c r="BM1" s="1070"/>
      <c r="BN1" s="1073" t="s">
        <v>1208</v>
      </c>
      <c r="BS1" s="1427"/>
    </row>
    <row customHeight="1" ht="11.25">
      <c r="A2" s="1074" t="s">
        <v>1209</v>
      </c>
      <c r="B2" s="1075">
        <v>2000</v>
      </c>
      <c r="C2" s="1075">
        <v>2022</v>
      </c>
      <c r="D2" s="1075" t="s">
        <v>66</v>
      </c>
      <c r="E2" s="1076" t="s">
        <v>1210</v>
      </c>
      <c r="F2" s="1076" t="s">
        <v>1211</v>
      </c>
      <c r="G2" s="1076" t="s">
        <v>1212</v>
      </c>
      <c r="H2" s="1077" t="s">
        <v>55</v>
      </c>
      <c r="I2" s="1076" t="s">
        <v>109</v>
      </c>
      <c r="J2" s="1076" t="s">
        <v>1213</v>
      </c>
      <c r="K2" s="1078" t="s">
        <v>1214</v>
      </c>
      <c r="L2" s="1079"/>
      <c r="M2" s="1078">
        <v>1</v>
      </c>
      <c r="N2" s="1162" t="s">
        <v>1215</v>
      </c>
      <c r="O2" s="1077" t="s">
        <v>1216</v>
      </c>
      <c r="P2" s="1080" t="s">
        <v>38</v>
      </c>
      <c r="Q2" s="1081" t="s">
        <v>1217</v>
      </c>
      <c r="R2" s="143" t="s">
        <v>1218</v>
      </c>
      <c r="S2" s="143" t="s">
        <v>1219</v>
      </c>
      <c r="T2" s="1082" t="s">
        <v>1220</v>
      </c>
      <c r="U2" s="1079" t="s">
        <v>1221</v>
      </c>
      <c r="V2" s="1083">
        <v>1</v>
      </c>
      <c r="W2" s="1084"/>
      <c r="X2" s="1084" t="s">
        <v>1222</v>
      </c>
      <c r="Y2" s="1075" t="s">
        <v>1223</v>
      </c>
      <c r="Z2" s="1085"/>
      <c r="AA2" s="1075" t="s">
        <v>1224</v>
      </c>
      <c r="AB2" s="1086" t="s">
        <v>1224</v>
      </c>
      <c r="AC2" s="1075" t="s">
        <v>1225</v>
      </c>
      <c r="AD2" s="1086" t="s">
        <v>1225</v>
      </c>
      <c r="AF2" s="1077" t="s">
        <v>1221</v>
      </c>
      <c r="AH2" s="1076" t="s">
        <v>1226</v>
      </c>
      <c r="AI2" s="1076" t="s">
        <v>1226</v>
      </c>
      <c r="AK2" s="1076" t="s">
        <v>1227</v>
      </c>
      <c r="AM2" s="1076" t="s">
        <v>1228</v>
      </c>
      <c r="AP2" s="1087" t="s">
        <v>1222</v>
      </c>
      <c r="AQ2" s="1088" t="s">
        <v>1222</v>
      </c>
      <c r="AS2" s="1075" t="s">
        <v>1229</v>
      </c>
      <c r="AU2" s="1120" t="s">
        <v>1230</v>
      </c>
      <c r="AW2" s="1120" t="s">
        <v>1231</v>
      </c>
      <c r="AX2" s="1120" t="s">
        <v>1231</v>
      </c>
      <c r="AZ2" s="1120" t="s">
        <v>53</v>
      </c>
      <c r="BB2" s="1120" t="s">
        <v>1232</v>
      </c>
      <c r="BC2" s="1120" t="s">
        <v>1233</v>
      </c>
      <c r="BE2" s="1120">
        <v>2000</v>
      </c>
      <c r="BF2" s="1120" t="s">
        <v>1234</v>
      </c>
    </row>
    <row customHeight="1" ht="11.25">
      <c r="A3" s="1074" t="s">
        <v>1235</v>
      </c>
      <c r="B3" s="1075">
        <v>2001</v>
      </c>
      <c r="C3" s="1075">
        <v>2023</v>
      </c>
      <c r="D3" s="1075" t="s">
        <v>19</v>
      </c>
      <c r="E3" s="1076" t="s">
        <v>1236</v>
      </c>
      <c r="F3" s="1076" t="s">
        <v>35</v>
      </c>
      <c r="G3" s="1076" t="s">
        <v>1237</v>
      </c>
      <c r="H3" s="1077" t="s">
        <v>1238</v>
      </c>
      <c r="I3" s="1076" t="s">
        <v>110</v>
      </c>
      <c r="J3" s="1076" t="s">
        <v>558</v>
      </c>
      <c r="K3" s="1078" t="s">
        <v>1239</v>
      </c>
      <c r="L3" s="1079">
        <f>_xlfn.IFERROR(MATCH(K3,OFFER_METHOD,0),0)</f>
        <v>0</v>
      </c>
      <c r="M3" s="1078">
        <v>2</v>
      </c>
      <c r="N3" s="1162" t="s">
        <v>1240</v>
      </c>
      <c r="O3" s="1077" t="s">
        <v>1241</v>
      </c>
      <c r="P3" s="1080" t="s">
        <v>1242</v>
      </c>
      <c r="Q3" s="1081" t="s">
        <v>1243</v>
      </c>
      <c r="R3" s="143" t="s">
        <v>1244</v>
      </c>
      <c r="S3" s="143" t="s">
        <v>1245</v>
      </c>
      <c r="T3" s="1082" t="s">
        <v>1246</v>
      </c>
      <c r="U3" s="1079" t="s">
        <v>1247</v>
      </c>
      <c r="V3" s="1083">
        <v>2</v>
      </c>
      <c r="W3" s="1084"/>
      <c r="X3" s="1084" t="s">
        <v>1248</v>
      </c>
      <c r="Y3" s="1075" t="s">
        <v>1223</v>
      </c>
      <c r="Z3" s="1085"/>
      <c r="AA3" s="1075" t="s">
        <v>1249</v>
      </c>
      <c r="AB3" s="1086" t="s">
        <v>1249</v>
      </c>
      <c r="AC3" s="1075" t="s">
        <v>1250</v>
      </c>
      <c r="AD3" s="1086" t="s">
        <v>1250</v>
      </c>
      <c r="AF3" s="1077" t="s">
        <v>1247</v>
      </c>
      <c r="AH3" s="1076" t="s">
        <v>1251</v>
      </c>
      <c r="AI3" s="1076" t="s">
        <v>1252</v>
      </c>
      <c r="AK3" s="1076" t="s">
        <v>1253</v>
      </c>
      <c r="AM3" s="1076" t="s">
        <v>1254</v>
      </c>
      <c r="AP3" s="1087" t="s">
        <v>1255</v>
      </c>
      <c r="AQ3" s="1088" t="s">
        <v>1255</v>
      </c>
      <c r="AS3" s="1075" t="s">
        <v>1256</v>
      </c>
      <c r="AU3" s="1120" t="s">
        <v>1257</v>
      </c>
      <c r="AW3" s="1120" t="s">
        <v>1258</v>
      </c>
      <c r="AX3" s="1120" t="s">
        <v>1258</v>
      </c>
      <c r="AZ3" s="1120" t="s">
        <v>1259</v>
      </c>
      <c r="BB3" s="1120" t="s">
        <v>1260</v>
      </c>
      <c r="BC3" s="1120" t="s">
        <v>1233</v>
      </c>
      <c r="BE3" s="1120">
        <v>2001</v>
      </c>
      <c r="BF3" s="1120" t="s">
        <v>1261</v>
      </c>
      <c r="BH3" s="1067" t="s">
        <v>1262</v>
      </c>
      <c r="BJ3" s="1067" t="s">
        <v>1263</v>
      </c>
      <c r="BL3" s="1067" t="s">
        <v>1264</v>
      </c>
      <c r="BN3" s="1067" t="s">
        <v>1265</v>
      </c>
      <c r="BR3" s="1067" t="s">
        <v>1266</v>
      </c>
      <c r="BS3" s="1428"/>
      <c r="BT3" s="1070"/>
      <c r="BU3" s="1067" t="s">
        <v>1267</v>
      </c>
      <c r="BV3" s="1070"/>
      <c r="BW3" s="1690"/>
      <c r="BX3" s="1692" t="s">
        <v>1268</v>
      </c>
      <c r="CA3" s="1067" t="s">
        <v>1269</v>
      </c>
    </row>
    <row customHeight="1" ht="11.25">
      <c r="A4" s="1074" t="s">
        <v>1270</v>
      </c>
      <c r="B4" s="1075">
        <v>2002</v>
      </c>
      <c r="C4" s="1075">
        <v>2024</v>
      </c>
      <c r="E4" s="1076" t="s">
        <v>1271</v>
      </c>
      <c r="F4" s="1076" t="s">
        <v>1272</v>
      </c>
      <c r="H4" s="1077" t="s">
        <v>1273</v>
      </c>
      <c r="I4" s="1076" t="s">
        <v>90</v>
      </c>
      <c r="J4" s="1076" t="s">
        <v>1274</v>
      </c>
      <c r="K4" s="1078" t="s">
        <v>1275</v>
      </c>
      <c r="L4" s="1079">
        <f>_xlfn.IFERROR(MATCH(K4,OFFER_METHOD,0),0)</f>
        <v>0</v>
      </c>
      <c r="M4" s="1078">
        <v>3</v>
      </c>
      <c r="N4" s="1162" t="s">
        <v>1276</v>
      </c>
      <c r="O4" s="1076" t="s">
        <v>1277</v>
      </c>
      <c r="Q4" s="1081" t="s">
        <v>1278</v>
      </c>
      <c r="R4" s="143" t="s">
        <v>1279</v>
      </c>
      <c r="S4" s="143" t="s">
        <v>1280</v>
      </c>
      <c r="T4" s="1082" t="s">
        <v>1281</v>
      </c>
      <c r="U4" s="1079" t="s">
        <v>1282</v>
      </c>
      <c r="V4" s="1083">
        <v>3</v>
      </c>
      <c r="W4" s="1084"/>
      <c r="X4" s="1084" t="s">
        <v>1283</v>
      </c>
      <c r="Y4" s="1075" t="s">
        <v>1223</v>
      </c>
      <c r="Z4" s="1091"/>
      <c r="AC4" s="1075" t="s">
        <v>1284</v>
      </c>
      <c r="AD4" s="1086" t="s">
        <v>1284</v>
      </c>
      <c r="AF4" s="1077" t="s">
        <v>1282</v>
      </c>
      <c r="AH4" s="1077" t="s">
        <v>1285</v>
      </c>
      <c r="AK4" s="1076" t="s">
        <v>1286</v>
      </c>
      <c r="AM4" s="1076" t="s">
        <v>1287</v>
      </c>
      <c r="AP4" s="1087" t="s">
        <v>1248</v>
      </c>
      <c r="AQ4" s="1088" t="s">
        <v>1248</v>
      </c>
      <c r="AS4" s="1075" t="s">
        <v>1288</v>
      </c>
      <c r="AU4" s="1120" t="s">
        <v>1289</v>
      </c>
      <c r="AW4" s="1120" t="s">
        <v>1290</v>
      </c>
      <c r="AX4" s="1120" t="s">
        <v>1290</v>
      </c>
      <c r="AZ4" s="1120" t="s">
        <v>1291</v>
      </c>
      <c r="BB4" s="1120" t="s">
        <v>1292</v>
      </c>
      <c r="BC4" s="1120" t="s">
        <v>1293</v>
      </c>
      <c r="BE4" s="1120">
        <v>2002</v>
      </c>
      <c r="BF4" s="1120" t="s">
        <v>1294</v>
      </c>
      <c r="BH4" s="1068" t="s">
        <v>1295</v>
      </c>
      <c r="BJ4" s="1068" t="s">
        <v>1295</v>
      </c>
      <c r="BL4" s="1068" t="s">
        <v>1295</v>
      </c>
      <c r="BN4" s="1068" t="s">
        <v>1295</v>
      </c>
      <c r="BQ4" s="1432" t="s">
        <v>1296</v>
      </c>
      <c r="BR4" s="1159" t="s">
        <v>1297</v>
      </c>
      <c r="BS4" s="274"/>
      <c r="BT4" s="1432" t="s">
        <v>1298</v>
      </c>
      <c r="BU4" s="1159" t="s">
        <v>1299</v>
      </c>
      <c r="BV4" s="1070"/>
      <c r="BW4" s="1697" t="s">
        <v>1300</v>
      </c>
      <c r="BX4" s="1691" t="s">
        <v>1301</v>
      </c>
      <c r="BZ4" s="1432" t="s">
        <v>1302</v>
      </c>
      <c r="CA4" s="1159" t="s">
        <v>1303</v>
      </c>
    </row>
    <row customHeight="1" ht="11.25">
      <c r="A5" s="1074" t="s">
        <v>1304</v>
      </c>
      <c r="B5" s="1075">
        <v>2003</v>
      </c>
      <c r="C5" s="1075">
        <v>2025</v>
      </c>
      <c r="E5" s="1076" t="s">
        <v>1305</v>
      </c>
      <c r="F5" s="1076" t="s">
        <v>1306</v>
      </c>
      <c r="H5" s="1077" t="s">
        <v>1307</v>
      </c>
      <c r="I5" s="1076" t="s">
        <v>91</v>
      </c>
      <c r="K5" s="1078" t="s">
        <v>1308</v>
      </c>
      <c r="L5" s="1079">
        <f>_xlfn.IFERROR(MATCH(K5,OFFER_METHOD,0),0)</f>
        <v>0</v>
      </c>
      <c r="M5" s="1078">
        <v>4</v>
      </c>
      <c r="N5" s="1092" t="s">
        <v>1309</v>
      </c>
      <c r="O5" s="1076" t="s">
        <v>1310</v>
      </c>
      <c r="Q5" s="1081" t="s">
        <v>1311</v>
      </c>
      <c r="R5" s="143" t="s">
        <v>1312</v>
      </c>
      <c r="T5" s="1077" t="s">
        <v>1313</v>
      </c>
      <c r="U5" s="1079" t="s">
        <v>1314</v>
      </c>
      <c r="V5" s="1083">
        <v>4</v>
      </c>
      <c r="W5" s="1084"/>
      <c r="X5" s="1084" t="s">
        <v>170</v>
      </c>
      <c r="Y5" s="1075" t="s">
        <v>1315</v>
      </c>
      <c r="Z5" s="1091">
        <v>1</v>
      </c>
      <c r="AF5" s="1077" t="s">
        <v>1316</v>
      </c>
      <c r="AH5" s="1076" t="s">
        <v>1317</v>
      </c>
      <c r="AK5" s="1076" t="s">
        <v>1318</v>
      </c>
      <c r="AM5" s="1076" t="s">
        <v>1319</v>
      </c>
      <c r="AP5" s="1087" t="s">
        <v>170</v>
      </c>
      <c r="AQ5" s="1088" t="s">
        <v>170</v>
      </c>
      <c r="AU5" s="1120" t="s">
        <v>1320</v>
      </c>
      <c r="AW5" s="1120" t="s">
        <v>1321</v>
      </c>
      <c r="AX5" s="1120" t="s">
        <v>1321</v>
      </c>
      <c r="AZ5" s="1120" t="s">
        <v>1322</v>
      </c>
      <c r="BB5" s="1120" t="s">
        <v>1323</v>
      </c>
      <c r="BC5" s="1120" t="s">
        <v>1324</v>
      </c>
      <c r="BE5" s="1120">
        <v>2003</v>
      </c>
      <c r="BF5" s="1120" t="s">
        <v>1325</v>
      </c>
      <c r="BH5" s="1068" t="s">
        <v>1326</v>
      </c>
      <c r="BJ5" s="1068" t="s">
        <v>1326</v>
      </c>
      <c r="BL5" s="1068" t="s">
        <v>1326</v>
      </c>
      <c r="BN5" s="1068" t="s">
        <v>1327</v>
      </c>
      <c r="BQ5" s="1281">
        <v>4213775</v>
      </c>
      <c r="BR5" s="1068" t="s">
        <v>1222</v>
      </c>
      <c r="BS5" s="1429"/>
      <c r="BT5" s="1281">
        <v>64236871</v>
      </c>
      <c r="BU5" s="1068" t="s">
        <v>231</v>
      </c>
      <c r="BV5" s="1070"/>
      <c r="BW5" s="1695">
        <v>4213767</v>
      </c>
      <c r="BX5" s="1693" t="s">
        <v>1328</v>
      </c>
      <c r="BZ5" s="1281">
        <v>64237509</v>
      </c>
      <c r="CA5" s="1295" t="s">
        <v>1329</v>
      </c>
    </row>
    <row customHeight="1" ht="11.25">
      <c r="A6" s="1074" t="s">
        <v>1330</v>
      </c>
      <c r="B6" s="1075">
        <v>2004</v>
      </c>
      <c r="C6" s="1075">
        <v>2026</v>
      </c>
      <c r="E6" s="1076" t="s">
        <v>1331</v>
      </c>
      <c r="F6" s="1093"/>
      <c r="H6" s="1077" t="s">
        <v>1332</v>
      </c>
      <c r="I6" s="1076" t="s">
        <v>111</v>
      </c>
      <c r="J6" s="1067" t="s">
        <v>1333</v>
      </c>
      <c r="L6" s="1079">
        <f>SUM(kind_of_control_method_filter)</f>
        <v>0</v>
      </c>
      <c r="N6" s="1092" t="s">
        <v>1334</v>
      </c>
      <c r="O6" s="1076" t="s">
        <v>1335</v>
      </c>
      <c r="R6" s="143" t="s">
        <v>1217</v>
      </c>
      <c r="T6" s="1077" t="s">
        <v>1336</v>
      </c>
      <c r="U6" s="1079" t="s">
        <v>1316</v>
      </c>
      <c r="V6" s="1083">
        <v>5</v>
      </c>
      <c r="W6" s="1084"/>
      <c r="X6" s="1075" t="s">
        <v>176</v>
      </c>
      <c r="Y6" s="1075" t="s">
        <v>1337</v>
      </c>
      <c r="Z6" s="1091"/>
      <c r="AA6" s="1094"/>
      <c r="AH6" s="1076" t="s">
        <v>1338</v>
      </c>
      <c r="AK6" s="1076" t="s">
        <v>1339</v>
      </c>
      <c r="AM6" s="1076" t="s">
        <v>1340</v>
      </c>
      <c r="AP6" s="1087" t="s">
        <v>176</v>
      </c>
      <c r="AQ6" s="1088" t="s">
        <v>176</v>
      </c>
      <c r="AU6" s="1120" t="s">
        <v>1341</v>
      </c>
      <c r="AW6" s="1120" t="s">
        <v>1342</v>
      </c>
      <c r="AX6" s="1120" t="s">
        <v>1342</v>
      </c>
      <c r="BB6" s="1120" t="s">
        <v>1343</v>
      </c>
      <c r="BC6" s="1120" t="s">
        <v>1324</v>
      </c>
      <c r="BE6" s="1120">
        <v>2004</v>
      </c>
      <c r="BF6" s="1120" t="s">
        <v>1344</v>
      </c>
      <c r="BH6" s="1068" t="s">
        <v>1345</v>
      </c>
      <c r="BJ6" s="1068" t="s">
        <v>1346</v>
      </c>
      <c r="BL6" s="1068" t="s">
        <v>1346</v>
      </c>
      <c r="BN6" s="1068" t="s">
        <v>1347</v>
      </c>
      <c r="BQ6" s="1281">
        <v>4213784</v>
      </c>
      <c r="BR6" s="1295" t="s">
        <v>1255</v>
      </c>
      <c r="BS6" s="1430"/>
      <c r="BT6" s="1281">
        <v>64236872</v>
      </c>
      <c r="BU6" s="1068" t="s">
        <v>236</v>
      </c>
      <c r="BV6" s="1070"/>
      <c r="BW6" s="1695">
        <v>4213768</v>
      </c>
      <c r="BX6" s="1693" t="s">
        <v>256</v>
      </c>
      <c r="BZ6" s="1281">
        <v>64237510</v>
      </c>
      <c r="CA6" s="1068" t="s">
        <v>1348</v>
      </c>
    </row>
    <row customHeight="1" ht="11.25">
      <c r="A7" s="1074" t="s">
        <v>1349</v>
      </c>
      <c r="B7" s="1075">
        <v>2005</v>
      </c>
      <c r="E7" s="1076" t="s">
        <v>1350</v>
      </c>
      <c r="F7" s="1093"/>
      <c r="H7" s="1077" t="s">
        <v>1351</v>
      </c>
      <c r="I7" s="1076" t="s">
        <v>92</v>
      </c>
      <c r="J7" s="1076" t="s">
        <v>1352</v>
      </c>
      <c r="N7" s="1096" t="s">
        <v>1353</v>
      </c>
      <c r="O7" s="1076" t="s">
        <v>1354</v>
      </c>
      <c r="U7" s="1079" t="s">
        <v>19</v>
      </c>
      <c r="V7" s="370" t="s">
        <v>92</v>
      </c>
      <c r="W7" s="1084"/>
      <c r="X7" s="1075" t="s">
        <v>182</v>
      </c>
      <c r="Y7" s="1075" t="s">
        <v>1315</v>
      </c>
      <c r="Z7" s="1091"/>
      <c r="AA7" s="1094"/>
      <c r="AH7" s="1076" t="s">
        <v>1355</v>
      </c>
      <c r="AK7" s="1076" t="s">
        <v>1356</v>
      </c>
      <c r="AM7" s="1076" t="s">
        <v>1357</v>
      </c>
      <c r="AP7" s="1087" t="s">
        <v>182</v>
      </c>
      <c r="AQ7" s="1088" t="s">
        <v>182</v>
      </c>
      <c r="AU7" s="1120" t="s">
        <v>1358</v>
      </c>
      <c r="AW7" s="1120" t="s">
        <v>1359</v>
      </c>
      <c r="AX7" s="1120" t="s">
        <v>1359</v>
      </c>
      <c r="AZ7" s="1067" t="s">
        <v>1360</v>
      </c>
      <c r="BB7" s="1120" t="s">
        <v>1361</v>
      </c>
      <c r="BC7" s="1120" t="s">
        <v>1324</v>
      </c>
      <c r="BE7" s="1120">
        <v>2005</v>
      </c>
      <c r="BF7" s="1120" t="s">
        <v>1362</v>
      </c>
      <c r="BH7" s="1068" t="s">
        <v>1363</v>
      </c>
      <c r="BJ7" s="1068" t="s">
        <v>1345</v>
      </c>
      <c r="BL7" s="1068" t="s">
        <v>1345</v>
      </c>
      <c r="BN7" s="1068" t="s">
        <v>1364</v>
      </c>
      <c r="BQ7" s="1281">
        <v>4213781</v>
      </c>
      <c r="BR7" s="1068" t="s">
        <v>1248</v>
      </c>
      <c r="BS7" s="1429"/>
      <c r="BT7" s="1281">
        <v>64236873</v>
      </c>
      <c r="BU7" s="1068" t="s">
        <v>241</v>
      </c>
      <c r="BV7" s="1070"/>
      <c r="BW7" s="1695">
        <v>4213769</v>
      </c>
      <c r="BX7" s="1693" t="s">
        <v>1365</v>
      </c>
      <c r="BZ7" s="1281">
        <v>64237511</v>
      </c>
      <c r="CA7" s="1068" t="s">
        <v>271</v>
      </c>
    </row>
    <row customHeight="1" ht="11.25">
      <c r="A8" s="1074" t="s">
        <v>1366</v>
      </c>
      <c r="B8" s="1075">
        <v>2006</v>
      </c>
      <c r="E8" s="1076" t="s">
        <v>1367</v>
      </c>
      <c r="F8" s="1093"/>
      <c r="H8" s="1077" t="s">
        <v>1368</v>
      </c>
      <c r="I8" s="1076" t="s">
        <v>93</v>
      </c>
      <c r="J8" s="1076" t="s">
        <v>1369</v>
      </c>
      <c r="N8" s="1163" t="s">
        <v>1370</v>
      </c>
      <c r="O8" s="1076" t="s">
        <v>1371</v>
      </c>
      <c r="V8" s="370" t="s">
        <v>93</v>
      </c>
      <c r="W8" s="1084"/>
      <c r="X8" s="1075" t="s">
        <v>188</v>
      </c>
      <c r="Y8" s="1075" t="s">
        <v>1315</v>
      </c>
      <c r="Z8" s="1091"/>
      <c r="AA8" s="1094"/>
      <c r="AK8" s="1076" t="s">
        <v>1372</v>
      </c>
      <c r="AP8" s="1087" t="s">
        <v>188</v>
      </c>
      <c r="AQ8" s="1088" t="s">
        <v>188</v>
      </c>
      <c r="AU8" s="1120" t="s">
        <v>1373</v>
      </c>
      <c r="AW8" s="1120" t="s">
        <v>1374</v>
      </c>
      <c r="AX8" s="1120" t="s">
        <v>1374</v>
      </c>
      <c r="AZ8" s="1120" t="s">
        <v>1375</v>
      </c>
      <c r="BB8" s="1120" t="s">
        <v>1376</v>
      </c>
      <c r="BC8" s="1120" t="s">
        <v>1324</v>
      </c>
      <c r="BE8" s="1120">
        <v>2006</v>
      </c>
      <c r="BF8" s="1120" t="s">
        <v>1377</v>
      </c>
      <c r="BH8" s="1068" t="s">
        <v>1378</v>
      </c>
      <c r="BJ8" s="1068" t="s">
        <v>1379</v>
      </c>
      <c r="BL8" s="1068" t="s">
        <v>1379</v>
      </c>
      <c r="BN8" s="1068" t="s">
        <v>1380</v>
      </c>
      <c r="BQ8" s="1281">
        <v>4213776</v>
      </c>
      <c r="BR8" s="1068" t="s">
        <v>170</v>
      </c>
      <c r="BS8" s="1429"/>
      <c r="BT8" s="1281">
        <v>64236874</v>
      </c>
      <c r="BU8" s="1295" t="s">
        <v>1381</v>
      </c>
      <c r="BV8" s="1070"/>
      <c r="BW8" s="1695">
        <v>4213770</v>
      </c>
      <c r="BX8" s="1696" t="s">
        <v>1382</v>
      </c>
      <c r="BZ8" s="1281">
        <v>64237512</v>
      </c>
      <c r="CA8" s="1068" t="s">
        <v>266</v>
      </c>
    </row>
    <row customHeight="1" ht="11.25">
      <c r="A9" s="1074" t="s">
        <v>1383</v>
      </c>
      <c r="B9" s="1075">
        <v>2007</v>
      </c>
      <c r="E9" s="1076" t="s">
        <v>1384</v>
      </c>
      <c r="F9" s="1093"/>
      <c r="G9" s="1067" t="s">
        <v>1385</v>
      </c>
      <c r="H9" s="1067" t="s">
        <v>1386</v>
      </c>
      <c r="I9" s="1076" t="s">
        <v>112</v>
      </c>
      <c r="O9" s="1076" t="s">
        <v>1387</v>
      </c>
      <c r="V9" s="370" t="s">
        <v>112</v>
      </c>
      <c r="W9" s="1084"/>
      <c r="X9" s="1075" t="s">
        <v>194</v>
      </c>
      <c r="Y9" s="1075" t="s">
        <v>1223</v>
      </c>
      <c r="Z9" s="1091">
        <v>1</v>
      </c>
      <c r="AA9" s="1094"/>
      <c r="AK9" s="1076" t="s">
        <v>1388</v>
      </c>
      <c r="AP9" s="1087" t="s">
        <v>1389</v>
      </c>
      <c r="AQ9" s="1088" t="s">
        <v>1389</v>
      </c>
      <c r="AW9" s="1120" t="s">
        <v>1390</v>
      </c>
      <c r="AX9" s="1120" t="s">
        <v>1390</v>
      </c>
      <c r="AZ9" s="1120" t="s">
        <v>1391</v>
      </c>
      <c r="BB9" s="1120" t="s">
        <v>1392</v>
      </c>
      <c r="BC9" s="1120" t="s">
        <v>1324</v>
      </c>
      <c r="BE9" s="1120">
        <v>2007</v>
      </c>
      <c r="BF9" s="1120" t="s">
        <v>1393</v>
      </c>
      <c r="BH9" s="1068" t="s">
        <v>1394</v>
      </c>
      <c r="BJ9" s="1068" t="s">
        <v>1395</v>
      </c>
      <c r="BL9" s="1068" t="s">
        <v>1395</v>
      </c>
      <c r="BN9" s="1068" t="s">
        <v>1396</v>
      </c>
      <c r="BQ9" s="1281">
        <v>4213777</v>
      </c>
      <c r="BR9" s="1068" t="s">
        <v>176</v>
      </c>
      <c r="BS9" s="1429"/>
      <c r="BT9" s="1281">
        <v>64236875</v>
      </c>
      <c r="BU9" s="1068" t="s">
        <v>246</v>
      </c>
      <c r="BV9" s="1070"/>
      <c r="BW9" s="1690"/>
      <c r="BX9" s="1690"/>
    </row>
    <row customHeight="1" ht="11.25">
      <c r="A10" s="1074" t="s">
        <v>16</v>
      </c>
      <c r="B10" s="1075">
        <v>2008</v>
      </c>
      <c r="E10" s="1076" t="s">
        <v>1397</v>
      </c>
      <c r="F10" s="1093"/>
      <c r="G10" s="1076" t="s">
        <v>1398</v>
      </c>
      <c r="H10" s="1076" t="s">
        <v>1399</v>
      </c>
      <c r="I10" s="1076" t="s">
        <v>152</v>
      </c>
      <c r="J10" s="1067" t="s">
        <v>1400</v>
      </c>
      <c r="K10" s="1067" t="s">
        <v>1401</v>
      </c>
      <c r="O10" s="1076" t="s">
        <v>1402</v>
      </c>
      <c r="V10" s="371" t="s">
        <v>152</v>
      </c>
      <c r="W10" s="1097"/>
      <c r="X10" s="1097" t="s">
        <v>1403</v>
      </c>
      <c r="Y10" s="1098" t="s">
        <v>1404</v>
      </c>
      <c r="Z10" s="1091"/>
      <c r="AP10" s="1087" t="s">
        <v>1403</v>
      </c>
      <c r="AQ10" s="1088" t="s">
        <v>1403</v>
      </c>
      <c r="AW10" s="1120" t="s">
        <v>1405</v>
      </c>
      <c r="AX10" s="1120" t="s">
        <v>1405</v>
      </c>
      <c r="AZ10" s="1120" t="s">
        <v>1406</v>
      </c>
      <c r="BB10" s="1120" t="s">
        <v>1407</v>
      </c>
      <c r="BC10" s="1120" t="s">
        <v>1324</v>
      </c>
      <c r="BE10" s="1120">
        <v>2008</v>
      </c>
      <c r="BF10" s="1120" t="s">
        <v>1408</v>
      </c>
      <c r="BH10" s="1068" t="s">
        <v>1409</v>
      </c>
      <c r="BJ10" s="1068" t="s">
        <v>1410</v>
      </c>
      <c r="BL10" s="1068" t="s">
        <v>1410</v>
      </c>
      <c r="BN10" s="1068" t="s">
        <v>1411</v>
      </c>
      <c r="BQ10" s="1281">
        <v>4213778</v>
      </c>
      <c r="BR10" s="1068" t="s">
        <v>182</v>
      </c>
      <c r="BS10" s="1429"/>
      <c r="BT10" s="1281">
        <v>64236876</v>
      </c>
      <c r="BU10" s="1068" t="s">
        <v>226</v>
      </c>
      <c r="BV10" s="1070"/>
      <c r="BW10" s="1690"/>
      <c r="BX10" s="1690"/>
    </row>
    <row customHeight="1" ht="11.25">
      <c r="A11" s="1074" t="s">
        <v>1412</v>
      </c>
      <c r="B11" s="1075">
        <v>2009</v>
      </c>
      <c r="E11" s="1076" t="s">
        <v>1413</v>
      </c>
      <c r="F11" s="1093"/>
      <c r="G11" s="1076" t="s">
        <v>1414</v>
      </c>
      <c r="H11" s="1076" t="s">
        <v>1415</v>
      </c>
      <c r="I11" s="1076" t="s">
        <v>153</v>
      </c>
      <c r="J11" s="1077" t="s">
        <v>1416</v>
      </c>
      <c r="K11" s="1099" t="s">
        <v>1417</v>
      </c>
      <c r="O11" s="1077" t="s">
        <v>1418</v>
      </c>
      <c r="V11" s="370" t="s">
        <v>153</v>
      </c>
      <c r="W11" s="275"/>
      <c r="X11" s="1084" t="s">
        <v>1389</v>
      </c>
      <c r="Y11" s="1075" t="s">
        <v>1419</v>
      </c>
      <c r="Z11" s="1091"/>
      <c r="AP11" s="1087" t="s">
        <v>194</v>
      </c>
      <c r="AQ11" s="1089" t="s">
        <v>194</v>
      </c>
      <c r="AW11" s="1120" t="s">
        <v>1420</v>
      </c>
      <c r="AX11" s="1120" t="s">
        <v>1420</v>
      </c>
      <c r="AZ11" s="1120" t="s">
        <v>1421</v>
      </c>
      <c r="BB11" s="1120" t="s">
        <v>1422</v>
      </c>
      <c r="BC11" s="1120" t="s">
        <v>1324</v>
      </c>
      <c r="BE11" s="1120">
        <v>2009</v>
      </c>
      <c r="BF11" s="1120" t="s">
        <v>1423</v>
      </c>
      <c r="BH11" s="1068" t="s">
        <v>1424</v>
      </c>
      <c r="BJ11" s="1068" t="s">
        <v>1394</v>
      </c>
      <c r="BL11" s="1068" t="s">
        <v>1394</v>
      </c>
      <c r="BN11" s="1068" t="s">
        <v>1425</v>
      </c>
      <c r="BQ11" s="1281">
        <v>4213780</v>
      </c>
      <c r="BR11" s="1068" t="s">
        <v>188</v>
      </c>
      <c r="BS11" s="1429"/>
      <c r="BW11" s="1690"/>
      <c r="BX11" s="1690"/>
    </row>
    <row customHeight="1" ht="11.25">
      <c r="A12" s="1074" t="s">
        <v>1426</v>
      </c>
      <c r="B12" s="1075">
        <v>2010</v>
      </c>
      <c r="E12" s="1076" t="s">
        <v>1427</v>
      </c>
      <c r="F12" s="1093"/>
      <c r="G12" s="1076" t="s">
        <v>1415</v>
      </c>
      <c r="I12" s="1076" t="s">
        <v>154</v>
      </c>
      <c r="J12" s="1077" t="s">
        <v>1428</v>
      </c>
      <c r="K12" s="1099" t="s">
        <v>1429</v>
      </c>
      <c r="O12" s="1077" t="s">
        <v>1217</v>
      </c>
      <c r="V12" s="370" t="s">
        <v>154</v>
      </c>
      <c r="W12" s="1089"/>
      <c r="X12" s="1084" t="s">
        <v>1430</v>
      </c>
      <c r="Y12" s="1075" t="s">
        <v>1223</v>
      </c>
      <c r="AP12" s="1087"/>
      <c r="AW12" s="1120" t="s">
        <v>153</v>
      </c>
      <c r="AX12" s="1120" t="s">
        <v>153</v>
      </c>
      <c r="AZ12" s="1120" t="s">
        <v>1431</v>
      </c>
      <c r="BB12" s="1120" t="s">
        <v>1432</v>
      </c>
      <c r="BC12" s="1120" t="s">
        <v>1324</v>
      </c>
      <c r="BE12" s="1120">
        <v>2010</v>
      </c>
      <c r="BF12" s="1120" t="s">
        <v>1433</v>
      </c>
      <c r="BH12" s="1068" t="s">
        <v>1434</v>
      </c>
      <c r="BJ12" s="1068" t="s">
        <v>1435</v>
      </c>
      <c r="BL12" s="1068" t="s">
        <v>1435</v>
      </c>
      <c r="BN12" s="1068" t="s">
        <v>1436</v>
      </c>
      <c r="BQ12" s="1281">
        <v>4213779</v>
      </c>
      <c r="BR12" s="1068" t="s">
        <v>1389</v>
      </c>
      <c r="BS12" s="1429"/>
      <c r="BT12" s="1070"/>
      <c r="BU12" s="1070"/>
      <c r="BV12" s="1070"/>
      <c r="BW12" s="1690"/>
      <c r="BX12" s="1690"/>
    </row>
    <row customHeight="1" ht="11.25">
      <c r="A13" s="1074" t="s">
        <v>1437</v>
      </c>
      <c r="B13" s="1075">
        <v>2011</v>
      </c>
      <c r="E13" s="1076" t="s">
        <v>1438</v>
      </c>
      <c r="F13" s="1093"/>
      <c r="I13" s="1076" t="s">
        <v>155</v>
      </c>
      <c r="K13" s="1099" t="s">
        <v>1388</v>
      </c>
      <c r="V13" s="370" t="s">
        <v>155</v>
      </c>
      <c r="W13" s="1089"/>
      <c r="X13" s="1089"/>
      <c r="Y13" s="1089"/>
      <c r="AW13" s="1120" t="s">
        <v>154</v>
      </c>
      <c r="AX13" s="1120" t="s">
        <v>154</v>
      </c>
      <c r="BB13" s="1120" t="s">
        <v>1439</v>
      </c>
      <c r="BC13" s="1120" t="s">
        <v>1440</v>
      </c>
      <c r="BE13" s="1120">
        <v>2011</v>
      </c>
      <c r="BF13" s="1120" t="s">
        <v>1441</v>
      </c>
      <c r="BH13" s="1068" t="s">
        <v>1442</v>
      </c>
      <c r="BJ13" s="1068" t="s">
        <v>1424</v>
      </c>
      <c r="BL13" s="1068" t="s">
        <v>1424</v>
      </c>
      <c r="BN13" s="1068" t="s">
        <v>1443</v>
      </c>
      <c r="BQ13" s="1281">
        <v>4213783</v>
      </c>
      <c r="BR13" s="1068" t="s">
        <v>1403</v>
      </c>
      <c r="BS13" s="1429"/>
      <c r="BT13" s="1070"/>
      <c r="BU13" s="1070"/>
      <c r="BV13" s="1070"/>
      <c r="BW13" s="1694"/>
      <c r="BX13" s="1690"/>
    </row>
    <row customHeight="1" ht="11.25">
      <c r="A14" s="1074" t="s">
        <v>1444</v>
      </c>
      <c r="B14" s="1075">
        <v>2012</v>
      </c>
      <c r="I14" s="1076" t="s">
        <v>156</v>
      </c>
      <c r="J14" s="1067" t="s">
        <v>1445</v>
      </c>
      <c r="N14" s="1067" t="s">
        <v>1446</v>
      </c>
      <c r="V14" s="1083">
        <v>13</v>
      </c>
      <c r="W14" s="1084"/>
      <c r="X14" s="1084" t="s">
        <v>1255</v>
      </c>
      <c r="Y14" s="1075" t="s">
        <v>1223</v>
      </c>
      <c r="AW14" s="1120" t="s">
        <v>155</v>
      </c>
      <c r="AX14" s="1120" t="s">
        <v>155</v>
      </c>
      <c r="AZ14" s="1067" t="s">
        <v>1447</v>
      </c>
      <c r="BB14" s="1120" t="s">
        <v>1448</v>
      </c>
      <c r="BC14" s="1120" t="s">
        <v>1440</v>
      </c>
      <c r="BE14" s="1120">
        <v>2012</v>
      </c>
      <c r="BH14" s="1068" t="s">
        <v>1364</v>
      </c>
      <c r="BJ14" s="1217" t="s">
        <v>1449</v>
      </c>
      <c r="BL14" s="1217" t="s">
        <v>1449</v>
      </c>
      <c r="BN14" s="1068" t="s">
        <v>1450</v>
      </c>
      <c r="BQ14" s="1281">
        <v>4213782</v>
      </c>
      <c r="BR14" s="1068" t="s">
        <v>194</v>
      </c>
      <c r="BS14" s="1429"/>
      <c r="BT14" s="1070"/>
      <c r="BU14" s="1070"/>
      <c r="BV14" s="1070"/>
      <c r="BW14" s="1694"/>
      <c r="BX14" s="1690"/>
    </row>
    <row customHeight="1" ht="19.5">
      <c r="A15" s="1074" t="s">
        <v>1451</v>
      </c>
      <c r="B15" s="1075">
        <v>2013</v>
      </c>
      <c r="E15" s="1698" t="s">
        <v>1452</v>
      </c>
      <c r="G15" s="1067" t="s">
        <v>1453</v>
      </c>
      <c r="H15" s="1067" t="s">
        <v>1454</v>
      </c>
      <c r="I15" s="1078" t="s">
        <v>157</v>
      </c>
      <c r="J15" s="1089" t="s">
        <v>585</v>
      </c>
      <c r="N15" s="1158" t="s">
        <v>1455</v>
      </c>
      <c r="X15" s="1087"/>
      <c r="AW15" s="1120" t="s">
        <v>156</v>
      </c>
      <c r="AX15" s="1120" t="s">
        <v>156</v>
      </c>
      <c r="AZ15" s="1120" t="s">
        <v>1375</v>
      </c>
      <c r="BB15" s="1120" t="s">
        <v>1456</v>
      </c>
      <c r="BC15" s="1120" t="s">
        <v>1440</v>
      </c>
      <c r="BE15" s="1120">
        <v>2013</v>
      </c>
      <c r="BH15" s="1068" t="s">
        <v>1380</v>
      </c>
      <c r="BJ15" s="1217" t="s">
        <v>1457</v>
      </c>
      <c r="BL15" s="1217" t="s">
        <v>1457</v>
      </c>
      <c r="BN15" s="1068" t="s">
        <v>1458</v>
      </c>
      <c r="BR15" s="1070"/>
      <c r="BS15" s="1431"/>
      <c r="BT15" s="1070"/>
      <c r="BU15" s="1070"/>
      <c r="BV15" s="1070"/>
      <c r="BW15" s="1694"/>
      <c r="BX15" s="1690"/>
    </row>
    <row customHeight="1" ht="21">
      <c r="A16" s="1870" t="s">
        <v>1459</v>
      </c>
      <c r="B16" s="1075">
        <v>2014</v>
      </c>
      <c r="E16" s="1699" t="s">
        <v>1460</v>
      </c>
      <c r="G16" s="1076" t="s">
        <v>1461</v>
      </c>
      <c r="H16" s="1076" t="s">
        <v>1462</v>
      </c>
      <c r="I16" s="1078" t="s">
        <v>1463</v>
      </c>
      <c r="J16" s="1089" t="s">
        <v>558</v>
      </c>
      <c r="N16" s="1158" t="s">
        <v>1464</v>
      </c>
      <c r="AW16" s="1120" t="s">
        <v>157</v>
      </c>
      <c r="AX16" s="1120" t="s">
        <v>157</v>
      </c>
      <c r="AZ16" s="1120" t="s">
        <v>1391</v>
      </c>
      <c r="BB16" s="1120" t="s">
        <v>1465</v>
      </c>
      <c r="BC16" s="1120" t="s">
        <v>1440</v>
      </c>
      <c r="BE16" s="1120">
        <v>2014</v>
      </c>
      <c r="BH16" s="1068" t="s">
        <v>1396</v>
      </c>
      <c r="BJ16" s="1217" t="s">
        <v>1466</v>
      </c>
      <c r="BL16" s="1217" t="s">
        <v>1466</v>
      </c>
      <c r="BN16" s="1068" t="s">
        <v>1467</v>
      </c>
      <c r="BR16" s="1070"/>
      <c r="BS16" s="1431"/>
      <c r="BT16" s="1070"/>
      <c r="BU16" s="1070"/>
      <c r="BV16" s="1070"/>
      <c r="BW16" s="1694"/>
      <c r="BX16" s="1690"/>
    </row>
    <row customHeight="1" ht="21">
      <c r="A17" s="1074" t="s">
        <v>1468</v>
      </c>
      <c r="B17" s="1075">
        <v>2015</v>
      </c>
      <c r="G17" s="1076" t="s">
        <v>1415</v>
      </c>
      <c r="H17" s="1076" t="s">
        <v>1415</v>
      </c>
      <c r="I17" s="1076" t="s">
        <v>1469</v>
      </c>
      <c r="N17" s="1158" t="s">
        <v>1470</v>
      </c>
      <c r="X17" s="1087"/>
      <c r="AW17" s="1120" t="s">
        <v>1463</v>
      </c>
      <c r="AX17" s="1120" t="s">
        <v>1463</v>
      </c>
      <c r="AZ17" s="1120" t="s">
        <v>1471</v>
      </c>
      <c r="BB17" s="1120" t="s">
        <v>1472</v>
      </c>
      <c r="BC17" s="1120" t="s">
        <v>1324</v>
      </c>
      <c r="BE17" s="1120">
        <v>2015</v>
      </c>
      <c r="BH17" s="1068" t="s">
        <v>1411</v>
      </c>
      <c r="BJ17" s="1217" t="s">
        <v>1473</v>
      </c>
      <c r="BL17" s="1217" t="s">
        <v>1473</v>
      </c>
      <c r="BN17" s="1068" t="s">
        <v>1474</v>
      </c>
      <c r="BR17" s="1067" t="s">
        <v>1266</v>
      </c>
      <c r="BS17" s="1428"/>
      <c r="BU17" s="1067" t="s">
        <v>1475</v>
      </c>
      <c r="BV17" s="1070"/>
      <c r="BW17" s="1690"/>
      <c r="BX17" s="1692" t="s">
        <v>1476</v>
      </c>
      <c r="CA17" s="1067" t="s">
        <v>1477</v>
      </c>
      <c r="CD17" s="1067" t="s">
        <v>1478</v>
      </c>
    </row>
    <row customHeight="1" ht="21">
      <c r="A18" s="1074" t="s">
        <v>1479</v>
      </c>
      <c r="B18" s="1075">
        <v>2016</v>
      </c>
      <c r="E18" s="2005" t="s">
        <v>1480</v>
      </c>
      <c r="I18" s="1076" t="s">
        <v>1481</v>
      </c>
      <c r="N18" s="1158" t="s">
        <v>1482</v>
      </c>
      <c r="X18" s="1087"/>
      <c r="AW18" s="1120" t="s">
        <v>1469</v>
      </c>
      <c r="AX18" s="1120" t="s">
        <v>1469</v>
      </c>
      <c r="BB18" s="1120" t="s">
        <v>1483</v>
      </c>
      <c r="BC18" s="1120" t="s">
        <v>1324</v>
      </c>
      <c r="BE18" s="1120">
        <v>2016</v>
      </c>
      <c r="BH18" s="1068" t="s">
        <v>1425</v>
      </c>
      <c r="BJ18" s="1217" t="s">
        <v>1484</v>
      </c>
      <c r="BL18" s="1217" t="s">
        <v>1484</v>
      </c>
      <c r="BN18" s="1068" t="s">
        <v>1485</v>
      </c>
      <c r="BQ18" s="1432" t="s">
        <v>1296</v>
      </c>
      <c r="BR18" s="1159" t="s">
        <v>1297</v>
      </c>
      <c r="BS18" s="274"/>
      <c r="BT18" s="1432" t="s">
        <v>1486</v>
      </c>
      <c r="BU18" s="1159" t="s">
        <v>1487</v>
      </c>
      <c r="BV18" s="1070"/>
      <c r="BW18" s="1697" t="s">
        <v>1488</v>
      </c>
      <c r="BX18" s="1691" t="s">
        <v>1489</v>
      </c>
      <c r="BZ18" s="1432" t="s">
        <v>1490</v>
      </c>
      <c r="CA18" s="1159" t="s">
        <v>1491</v>
      </c>
      <c r="CC18" s="1432" t="s">
        <v>1492</v>
      </c>
      <c r="CD18" s="1159" t="s">
        <v>1493</v>
      </c>
    </row>
    <row customHeight="1" ht="21">
      <c r="A19" s="1870" t="s">
        <v>1494</v>
      </c>
      <c r="B19" s="1075">
        <v>2017</v>
      </c>
      <c r="E19" s="1074" t="s">
        <v>169</v>
      </c>
      <c r="I19" s="1076" t="s">
        <v>1495</v>
      </c>
      <c r="N19" s="1158" t="s">
        <v>1496</v>
      </c>
      <c r="X19" s="1087"/>
      <c r="AW19" s="1120" t="s">
        <v>1481</v>
      </c>
      <c r="AX19" s="1120" t="s">
        <v>1481</v>
      </c>
      <c r="AZ19" s="1067" t="s">
        <v>1497</v>
      </c>
      <c r="BB19" s="1120" t="s">
        <v>1498</v>
      </c>
      <c r="BC19" s="1120" t="s">
        <v>1324</v>
      </c>
      <c r="BE19" s="1120">
        <v>2017</v>
      </c>
      <c r="BH19" s="1068" t="s">
        <v>1499</v>
      </c>
      <c r="BJ19" s="1217" t="s">
        <v>1500</v>
      </c>
      <c r="BL19" s="1217" t="s">
        <v>1500</v>
      </c>
      <c r="BQ19" s="1281">
        <v>4190064</v>
      </c>
      <c r="BR19" s="1068" t="s">
        <v>1501</v>
      </c>
      <c r="BS19" s="1429"/>
      <c r="BT19" s="1281">
        <v>4189671</v>
      </c>
      <c r="BU19" s="1068" t="s">
        <v>1502</v>
      </c>
      <c r="BV19" s="1070"/>
      <c r="BW19" s="1695">
        <v>4189706</v>
      </c>
      <c r="BX19" s="1693" t="s">
        <v>1503</v>
      </c>
      <c r="BZ19" s="1281">
        <v>4189714</v>
      </c>
      <c r="CA19" s="1068" t="s">
        <v>1504</v>
      </c>
      <c r="CC19" s="1281">
        <v>4189708</v>
      </c>
      <c r="CD19" s="1068" t="s">
        <v>1505</v>
      </c>
    </row>
    <row customHeight="1" ht="21">
      <c r="A20" s="1074" t="s">
        <v>1506</v>
      </c>
      <c r="B20" s="1075">
        <v>2018</v>
      </c>
      <c r="E20" s="1074" t="s">
        <v>1255</v>
      </c>
      <c r="I20" s="1076" t="s">
        <v>1507</v>
      </c>
      <c r="N20" s="1158" t="s">
        <v>1508</v>
      </c>
      <c r="AW20" s="1120" t="s">
        <v>1495</v>
      </c>
      <c r="AX20" s="1120" t="s">
        <v>1495</v>
      </c>
      <c r="AZ20" s="1120" t="s">
        <v>1509</v>
      </c>
      <c r="BB20" s="1120" t="s">
        <v>1510</v>
      </c>
      <c r="BC20" s="1120" t="s">
        <v>1440</v>
      </c>
      <c r="BE20" s="1120">
        <v>2018</v>
      </c>
      <c r="BH20" s="1068" t="s">
        <v>1436</v>
      </c>
      <c r="BJ20" s="1068" t="s">
        <v>1364</v>
      </c>
      <c r="BL20" s="1068" t="s">
        <v>1364</v>
      </c>
      <c r="BQ20" s="1281">
        <v>4190065</v>
      </c>
      <c r="BR20" s="1068" t="s">
        <v>1511</v>
      </c>
      <c r="BS20" s="1429"/>
      <c r="BT20" s="1281">
        <v>4189672</v>
      </c>
      <c r="BU20" s="1068" t="s">
        <v>1512</v>
      </c>
      <c r="BV20" s="1070"/>
      <c r="BW20" s="1695">
        <v>4189705</v>
      </c>
      <c r="BX20" s="1693" t="s">
        <v>1513</v>
      </c>
      <c r="BZ20" s="1281">
        <v>4189713</v>
      </c>
      <c r="CA20" s="1068" t="s">
        <v>1513</v>
      </c>
      <c r="CC20" s="1281">
        <v>4189709</v>
      </c>
      <c r="CD20" s="1068" t="s">
        <v>1514</v>
      </c>
    </row>
    <row customHeight="1" ht="21">
      <c r="A21" s="1074" t="s">
        <v>1515</v>
      </c>
      <c r="B21" s="1075">
        <v>2019</v>
      </c>
      <c r="I21" s="1076" t="s">
        <v>1516</v>
      </c>
      <c r="N21" s="1158" t="s">
        <v>1517</v>
      </c>
      <c r="AW21" s="1120" t="s">
        <v>1507</v>
      </c>
      <c r="AX21" s="1120" t="s">
        <v>1507</v>
      </c>
      <c r="AZ21" s="1120" t="s">
        <v>1518</v>
      </c>
      <c r="BB21" s="1120" t="s">
        <v>1519</v>
      </c>
      <c r="BC21" s="1120" t="s">
        <v>1324</v>
      </c>
      <c r="BE21" s="1120">
        <v>2019</v>
      </c>
      <c r="BH21" s="1068" t="s">
        <v>1443</v>
      </c>
      <c r="BJ21" s="1068" t="s">
        <v>1380</v>
      </c>
      <c r="BL21" s="1068" t="s">
        <v>1380</v>
      </c>
      <c r="BQ21" s="1281">
        <v>4190066</v>
      </c>
      <c r="BR21" s="1068" t="s">
        <v>1520</v>
      </c>
      <c r="BS21" s="1429"/>
      <c r="BT21" s="1281">
        <v>4189673</v>
      </c>
      <c r="BU21" s="1068" t="s">
        <v>1521</v>
      </c>
      <c r="BV21" s="1070"/>
      <c r="BW21" s="1695">
        <v>4189707</v>
      </c>
      <c r="BX21" s="1693" t="s">
        <v>1522</v>
      </c>
      <c r="BZ21" s="1281">
        <v>4189712</v>
      </c>
      <c r="CA21" s="1068" t="s">
        <v>1523</v>
      </c>
      <c r="CC21" s="1281">
        <v>4189710</v>
      </c>
      <c r="CD21" s="1068" t="s">
        <v>1524</v>
      </c>
    </row>
    <row customHeight="1" ht="21">
      <c r="A22" s="1074" t="s">
        <v>1525</v>
      </c>
      <c r="B22" s="1075">
        <v>2020</v>
      </c>
      <c r="N22" s="1158" t="s">
        <v>1526</v>
      </c>
      <c r="AW22" s="1120" t="s">
        <v>1516</v>
      </c>
      <c r="AX22" s="1120" t="s">
        <v>1516</v>
      </c>
      <c r="AZ22" s="1120" t="s">
        <v>1527</v>
      </c>
      <c r="BB22" s="1120" t="s">
        <v>1528</v>
      </c>
      <c r="BC22" s="1120" t="s">
        <v>1324</v>
      </c>
      <c r="BE22" s="1120">
        <v>2020</v>
      </c>
      <c r="BH22" s="1068" t="s">
        <v>1450</v>
      </c>
      <c r="BJ22" s="1068" t="s">
        <v>1396</v>
      </c>
      <c r="BL22" s="1068" t="s">
        <v>1396</v>
      </c>
      <c r="BQ22" s="1281">
        <v>4190067</v>
      </c>
      <c r="BR22" s="1068" t="s">
        <v>1529</v>
      </c>
      <c r="BS22" s="1429"/>
      <c r="BT22" s="1281">
        <v>4189674</v>
      </c>
      <c r="BU22" s="1068" t="s">
        <v>1530</v>
      </c>
      <c r="BV22" s="1070"/>
      <c r="BW22" s="1070"/>
      <c r="CC22" s="1281">
        <v>4189711</v>
      </c>
      <c r="CD22" s="1068" t="s">
        <v>295</v>
      </c>
    </row>
    <row customHeight="1" ht="21">
      <c r="A23" s="1074" t="s">
        <v>1531</v>
      </c>
      <c r="B23" s="1075">
        <v>2021</v>
      </c>
      <c r="AW23" s="1120" t="s">
        <v>1532</v>
      </c>
      <c r="AX23" s="1120" t="s">
        <v>1532</v>
      </c>
      <c r="AZ23" s="1120" t="s">
        <v>1533</v>
      </c>
      <c r="BB23" s="1120" t="s">
        <v>1534</v>
      </c>
      <c r="BC23" s="1120" t="s">
        <v>1233</v>
      </c>
      <c r="BE23" s="1120">
        <v>2021</v>
      </c>
      <c r="BH23" s="1068" t="s">
        <v>1458</v>
      </c>
      <c r="BJ23" s="1068" t="s">
        <v>1411</v>
      </c>
      <c r="BL23" s="1068" t="s">
        <v>1411</v>
      </c>
      <c r="BQ23" s="1281">
        <v>4190068</v>
      </c>
      <c r="BR23" s="1068" t="s">
        <v>1535</v>
      </c>
      <c r="BS23" s="1429"/>
      <c r="BT23" s="1281">
        <v>4189675</v>
      </c>
      <c r="BU23" s="1068" t="s">
        <v>1536</v>
      </c>
      <c r="BV23" s="1070"/>
      <c r="BW23" s="1070"/>
      <c r="CC23" s="1281">
        <v>5110778</v>
      </c>
      <c r="CD23" s="1068" t="s">
        <v>1537</v>
      </c>
    </row>
    <row customHeight="1" ht="21">
      <c r="A24" s="1074" t="s">
        <v>1538</v>
      </c>
      <c r="B24" s="1075">
        <v>2022</v>
      </c>
      <c r="AW24" s="1120" t="s">
        <v>1539</v>
      </c>
      <c r="AX24" s="1120" t="s">
        <v>1539</v>
      </c>
      <c r="AZ24" s="1120" t="s">
        <v>1540</v>
      </c>
      <c r="BB24" s="1120" t="s">
        <v>1541</v>
      </c>
      <c r="BC24" s="1120" t="s">
        <v>1542</v>
      </c>
      <c r="BE24" s="1120">
        <v>2022</v>
      </c>
      <c r="BH24" s="1068" t="s">
        <v>1467</v>
      </c>
      <c r="BJ24" s="1068" t="s">
        <v>1425</v>
      </c>
      <c r="BL24" s="1068" t="s">
        <v>1425</v>
      </c>
      <c r="BQ24" s="1281">
        <v>4190069</v>
      </c>
      <c r="BR24" s="1068" t="s">
        <v>1543</v>
      </c>
      <c r="BS24" s="1429"/>
      <c r="BT24" s="1281">
        <v>4189676</v>
      </c>
      <c r="BU24" s="1068" t="s">
        <v>1544</v>
      </c>
      <c r="BV24" s="1070"/>
      <c r="BW24" s="1070"/>
      <c r="CC24" s="1281">
        <v>25575374</v>
      </c>
      <c r="CD24" s="1068" t="s">
        <v>1545</v>
      </c>
    </row>
    <row customHeight="1" ht="11.25">
      <c r="A25" s="1074" t="s">
        <v>1546</v>
      </c>
      <c r="B25" s="1075">
        <v>2023</v>
      </c>
      <c r="AW25" s="1120" t="s">
        <v>1547</v>
      </c>
      <c r="AX25" s="1120" t="s">
        <v>1547</v>
      </c>
      <c r="AZ25" s="1120" t="s">
        <v>1548</v>
      </c>
      <c r="BB25" s="1120" t="s">
        <v>1549</v>
      </c>
      <c r="BC25" s="1120" t="s">
        <v>1542</v>
      </c>
      <c r="BE25" s="1120">
        <v>2023</v>
      </c>
      <c r="BH25" s="1068" t="s">
        <v>1474</v>
      </c>
      <c r="BJ25" s="1068" t="s">
        <v>1499</v>
      </c>
      <c r="BL25" s="1068" t="s">
        <v>1499</v>
      </c>
      <c r="BQ25" s="1281">
        <v>4190070</v>
      </c>
      <c r="BR25" s="1068" t="s">
        <v>1550</v>
      </c>
      <c r="BS25" s="1429"/>
      <c r="BT25" s="1281">
        <v>4189677</v>
      </c>
      <c r="BU25" s="1068" t="s">
        <v>1551</v>
      </c>
      <c r="BV25" s="1070"/>
      <c r="BW25" s="1070"/>
    </row>
    <row customHeight="1" ht="11.25">
      <c r="A26" s="1074" t="s">
        <v>1552</v>
      </c>
      <c r="B26" s="1075">
        <v>2024</v>
      </c>
      <c r="J26" s="1731" t="s">
        <v>1553</v>
      </c>
      <c r="AX26" s="1120" t="s">
        <v>1554</v>
      </c>
      <c r="AZ26" s="1120" t="s">
        <v>1418</v>
      </c>
      <c r="BB26" s="1120" t="s">
        <v>1555</v>
      </c>
      <c r="BC26" s="1120" t="s">
        <v>1542</v>
      </c>
      <c r="BE26" s="1120">
        <v>2024</v>
      </c>
      <c r="BH26" s="1068" t="s">
        <v>1485</v>
      </c>
      <c r="BJ26" s="1068" t="s">
        <v>1436</v>
      </c>
      <c r="BL26" s="1068" t="s">
        <v>1436</v>
      </c>
      <c r="BQ26" s="1281">
        <v>4190071</v>
      </c>
      <c r="BR26" s="1068" t="s">
        <v>1556</v>
      </c>
      <c r="BS26" s="1429"/>
      <c r="BV26" s="1070"/>
      <c r="BW26" s="1070"/>
    </row>
    <row customHeight="1" ht="11.25">
      <c r="A27" s="1074" t="s">
        <v>1557</v>
      </c>
      <c r="B27" s="1075">
        <v>2025</v>
      </c>
      <c r="J27" s="176" t="s">
        <v>122</v>
      </c>
      <c r="AX27" s="1120" t="s">
        <v>99</v>
      </c>
      <c r="BB27" s="1120" t="s">
        <v>1558</v>
      </c>
      <c r="BC27" s="1120" t="s">
        <v>1542</v>
      </c>
      <c r="BE27" s="1120">
        <v>2025</v>
      </c>
      <c r="BH27" s="1070" t="s">
        <v>22</v>
      </c>
      <c r="BJ27" s="1068" t="s">
        <v>1443</v>
      </c>
      <c r="BL27" s="1068" t="s">
        <v>1443</v>
      </c>
      <c r="BN27" s="1070" t="s">
        <v>22</v>
      </c>
      <c r="BQ27" s="1281">
        <v>4190072</v>
      </c>
      <c r="BR27" s="1068" t="s">
        <v>1559</v>
      </c>
      <c r="BS27" s="1429"/>
      <c r="BV27" s="1070"/>
      <c r="BW27" s="1070"/>
    </row>
    <row customHeight="1" ht="11.25">
      <c r="A28" s="1074" t="s">
        <v>1560</v>
      </c>
      <c r="D28" s="1101"/>
      <c r="E28" s="1102"/>
      <c r="F28" s="1102"/>
      <c r="H28" s="1103" t="s">
        <v>1561</v>
      </c>
      <c r="AX28" s="1120" t="s">
        <v>1562</v>
      </c>
      <c r="AZ28" s="1067" t="s">
        <v>1563</v>
      </c>
      <c r="BB28" s="1120" t="s">
        <v>1564</v>
      </c>
      <c r="BC28" s="1120" t="s">
        <v>1565</v>
      </c>
      <c r="BE28" s="1120">
        <v>2026</v>
      </c>
      <c r="BH28" s="1070" t="s">
        <v>22</v>
      </c>
      <c r="BJ28" s="1068" t="s">
        <v>1450</v>
      </c>
      <c r="BL28" s="1068" t="s">
        <v>1450</v>
      </c>
      <c r="BN28" s="1070" t="s">
        <v>22</v>
      </c>
      <c r="BQ28" s="1281">
        <v>4190073</v>
      </c>
      <c r="BR28" s="1068" t="s">
        <v>1566</v>
      </c>
      <c r="BS28" s="1429"/>
      <c r="BV28" s="1070"/>
      <c r="BW28" s="1070"/>
    </row>
    <row customHeight="1" ht="11.25">
      <c r="A29" s="1074" t="s">
        <v>1567</v>
      </c>
      <c r="D29" s="1104" t="s">
        <v>1568</v>
      </c>
      <c r="E29" s="1105" t="str">
        <f>IF(TEMPLATE_GROUP="","",INDEX(StartDateList,MATCH(TEMPLATE_GROUP,CodeTemplateList,0),1))</f>
        <v>01.04.2025</v>
      </c>
      <c r="F29" s="1105" t="str">
        <f>IF(TEMPLATE_GROUP="","",INDEX(EndDateList,MATCH(TEMPLATE_GROUP,CodeTemplateList,0),1))</f>
        <v>30.06.2025</v>
      </c>
      <c r="H29" s="1106" t="s">
        <v>1569</v>
      </c>
      <c r="AX29" s="1120" t="s">
        <v>1570</v>
      </c>
      <c r="AZ29" s="1120" t="s">
        <v>1218</v>
      </c>
      <c r="BB29" s="1120" t="s">
        <v>1418</v>
      </c>
      <c r="BC29" s="1091"/>
      <c r="BE29" s="1120">
        <v>2027</v>
      </c>
      <c r="BJ29" s="1068" t="s">
        <v>1458</v>
      </c>
      <c r="BL29" s="1068" t="s">
        <v>1458</v>
      </c>
    </row>
    <row customHeight="1" ht="11.25">
      <c r="A30" s="1074" t="s">
        <v>1571</v>
      </c>
      <c r="D30" s="1107"/>
      <c r="E30" s="1108"/>
      <c r="F30" s="1108"/>
      <c r="AX30" s="1120" t="s">
        <v>1572</v>
      </c>
      <c r="AZ30" s="1120" t="s">
        <v>1244</v>
      </c>
      <c r="BE30" s="1120">
        <v>2028</v>
      </c>
      <c r="BJ30" s="1068" t="s">
        <v>1573</v>
      </c>
      <c r="BL30" s="1068" t="s">
        <v>1573</v>
      </c>
    </row>
    <row customHeight="1" ht="12.75">
      <c r="A31" s="1074" t="s">
        <v>1574</v>
      </c>
      <c r="D31" s="1101"/>
      <c r="E31" s="1102"/>
      <c r="F31" s="1102"/>
      <c r="H31" s="1109"/>
      <c r="AX31" s="1120" t="s">
        <v>1575</v>
      </c>
      <c r="AZ31" s="1120" t="s">
        <v>1576</v>
      </c>
      <c r="BE31" s="1120">
        <v>2029</v>
      </c>
      <c r="BJ31" s="1068" t="s">
        <v>1577</v>
      </c>
      <c r="BL31" s="1068" t="s">
        <v>1577</v>
      </c>
    </row>
    <row customHeight="1" ht="11.25">
      <c r="A32" s="1074" t="s">
        <v>1578</v>
      </c>
      <c r="D32" s="1104" t="s">
        <v>1579</v>
      </c>
      <c r="E32" s="1105" t="str">
        <f>IF(TEMPLATE_GROUP="","",INDEX(StartDateList,MATCH(TEMPLATE_GROUP,CodeTemplateList,0),1))</f>
        <v>01.04.2025</v>
      </c>
      <c r="F32" s="1105" t="str">
        <f>IF(TEMPLATE_GROUP="","",INDEX(EndDateList,MATCH(TEMPLATE_GROUP,CodeTemplateList,0),1))</f>
        <v>30.06.2025</v>
      </c>
      <c r="H32" s="1110" t="s">
        <v>1580</v>
      </c>
      <c r="O32" s="1074" t="s">
        <v>1216</v>
      </c>
      <c r="AX32" s="1120" t="s">
        <v>1581</v>
      </c>
      <c r="AZ32" s="1120" t="s">
        <v>1312</v>
      </c>
      <c r="BE32" s="1120">
        <v>2030</v>
      </c>
      <c r="BJ32" s="1068" t="s">
        <v>1467</v>
      </c>
      <c r="BL32" s="1068" t="s">
        <v>1467</v>
      </c>
    </row>
    <row customHeight="1" ht="11.25">
      <c r="A33" s="1074" t="s">
        <v>1582</v>
      </c>
      <c r="O33" s="1074" t="s">
        <v>1241</v>
      </c>
      <c r="AX33" s="1120" t="s">
        <v>1583</v>
      </c>
      <c r="AZ33" s="1120" t="s">
        <v>1217</v>
      </c>
      <c r="BE33" s="1120">
        <v>2031</v>
      </c>
      <c r="BJ33" s="1068" t="s">
        <v>1474</v>
      </c>
      <c r="BL33" s="1068" t="s">
        <v>1474</v>
      </c>
    </row>
    <row customHeight="1" ht="11.25">
      <c r="A34" s="1074" t="s">
        <v>1584</v>
      </c>
      <c r="O34" s="1074" t="s">
        <v>1277</v>
      </c>
      <c r="AX34" s="1120" t="s">
        <v>1585</v>
      </c>
      <c r="BE34" s="1120">
        <v>2032</v>
      </c>
      <c r="BJ34" s="1068" t="s">
        <v>1485</v>
      </c>
      <c r="BL34" s="1068" t="s">
        <v>1485</v>
      </c>
    </row>
    <row customHeight="1" ht="11.25">
      <c r="A35" s="1074" t="s">
        <v>1586</v>
      </c>
      <c r="O35" s="1074" t="s">
        <v>1310</v>
      </c>
      <c r="AX35" s="1120" t="s">
        <v>1587</v>
      </c>
      <c r="AZ35" s="1067" t="s">
        <v>1588</v>
      </c>
      <c r="BE35" s="1120">
        <v>2033</v>
      </c>
      <c r="BL35" s="1068" t="s">
        <v>1589</v>
      </c>
    </row>
    <row customHeight="1" ht="11.25">
      <c r="A36" s="1870" t="s">
        <v>1590</v>
      </c>
      <c r="D36" s="1111" t="s">
        <v>1591</v>
      </c>
      <c r="E36" s="1112" t="s">
        <v>810</v>
      </c>
      <c r="F36" s="1113" t="str">
        <f>INDEX(E37:E41,MATCH(TEMPLATE_SPHERE,F37:F41,0))</f>
        <v>теплоснабжения</v>
      </c>
      <c r="G36" s="1113" t="str">
        <f>INDEX(G37:G41,MATCH(TEMPLATE_SPHERE,F37:F41,0))</f>
        <v>теплоснабжение</v>
      </c>
      <c r="O36" s="1074" t="s">
        <v>1335</v>
      </c>
      <c r="AX36" s="1120" t="s">
        <v>1592</v>
      </c>
      <c r="AZ36" s="1120" t="s">
        <v>1217</v>
      </c>
      <c r="BE36" s="1120">
        <v>2034</v>
      </c>
      <c r="BL36" s="1068" t="s">
        <v>1593</v>
      </c>
    </row>
    <row customHeight="1" ht="11.25">
      <c r="A37" s="1074" t="s">
        <v>1594</v>
      </c>
      <c r="E37" s="407" t="s">
        <v>1595</v>
      </c>
      <c r="F37" s="1114" t="s">
        <v>810</v>
      </c>
      <c r="G37" s="407" t="s">
        <v>1596</v>
      </c>
      <c r="O37" s="1074" t="s">
        <v>1354</v>
      </c>
      <c r="AX37" s="1120" t="s">
        <v>1597</v>
      </c>
      <c r="AZ37" s="1120" t="s">
        <v>1243</v>
      </c>
      <c r="BE37" s="1120">
        <v>2035</v>
      </c>
    </row>
    <row customHeight="1" ht="11.25">
      <c r="A38" s="1074" t="s">
        <v>1598</v>
      </c>
      <c r="E38" s="407" t="s">
        <v>1599</v>
      </c>
      <c r="F38" s="1115" t="s">
        <v>856</v>
      </c>
      <c r="G38" s="407" t="s">
        <v>1600</v>
      </c>
      <c r="O38" s="1074" t="s">
        <v>1371</v>
      </c>
      <c r="AX38" s="1120" t="s">
        <v>1601</v>
      </c>
      <c r="AZ38" s="1120" t="s">
        <v>1278</v>
      </c>
      <c r="BE38" s="1120">
        <v>2036</v>
      </c>
      <c r="BH38" s="1067" t="s">
        <v>1602</v>
      </c>
      <c r="BJ38" s="1067" t="s">
        <v>1603</v>
      </c>
      <c r="BL38" s="1067" t="s">
        <v>1604</v>
      </c>
      <c r="BN38" s="1067" t="s">
        <v>1605</v>
      </c>
    </row>
    <row customHeight="1" ht="11.25">
      <c r="A39" s="1074" t="s">
        <v>1606</v>
      </c>
      <c r="E39" s="407" t="s">
        <v>1607</v>
      </c>
      <c r="F39" s="1115" t="s">
        <v>909</v>
      </c>
      <c r="G39" s="407" t="s">
        <v>1608</v>
      </c>
      <c r="O39" s="1074" t="s">
        <v>1387</v>
      </c>
      <c r="AX39" s="1120" t="s">
        <v>1609</v>
      </c>
      <c r="AZ39" s="1120" t="s">
        <v>1311</v>
      </c>
      <c r="BE39" s="1120">
        <v>2037</v>
      </c>
      <c r="BH39" s="1068" t="s">
        <v>1610</v>
      </c>
      <c r="BJ39" s="1217" t="s">
        <v>1610</v>
      </c>
      <c r="BL39" s="1217" t="s">
        <v>1610</v>
      </c>
      <c r="BN39" s="1068" t="s">
        <v>1611</v>
      </c>
    </row>
    <row customHeight="1" ht="11.25">
      <c r="A40" s="1074" t="s">
        <v>1612</v>
      </c>
      <c r="E40" s="407" t="s">
        <v>1613</v>
      </c>
      <c r="F40" s="1115" t="s">
        <v>896</v>
      </c>
      <c r="G40" s="407" t="s">
        <v>1614</v>
      </c>
      <c r="O40" s="1074" t="s">
        <v>1402</v>
      </c>
      <c r="AX40" s="1120" t="s">
        <v>1615</v>
      </c>
      <c r="BE40" s="1120">
        <v>2038</v>
      </c>
      <c r="BH40" s="1068" t="s">
        <v>1616</v>
      </c>
      <c r="BJ40" s="1217" t="s">
        <v>1030</v>
      </c>
      <c r="BL40" s="1217" t="s">
        <v>1030</v>
      </c>
      <c r="BN40" s="1068" t="s">
        <v>1064</v>
      </c>
    </row>
    <row customHeight="1" ht="11.25">
      <c r="A41" s="1074" t="s">
        <v>1617</v>
      </c>
      <c r="E41" s="407" t="s">
        <v>1618</v>
      </c>
      <c r="F41" s="1115" t="s">
        <v>1619</v>
      </c>
      <c r="G41" s="407" t="s">
        <v>1618</v>
      </c>
      <c r="O41" s="1074" t="s">
        <v>1418</v>
      </c>
      <c r="AX41" s="1120" t="s">
        <v>1620</v>
      </c>
      <c r="AZ41" s="1067" t="s">
        <v>1621</v>
      </c>
      <c r="BE41" s="1120">
        <v>2039</v>
      </c>
      <c r="BH41" s="1068" t="s">
        <v>1622</v>
      </c>
      <c r="BJ41" s="1217" t="s">
        <v>1026</v>
      </c>
      <c r="BL41" s="1217" t="s">
        <v>1026</v>
      </c>
      <c r="BN41" s="1068" t="s">
        <v>1051</v>
      </c>
    </row>
    <row customHeight="1" ht="11.25">
      <c r="A42" s="1074" t="s">
        <v>1623</v>
      </c>
      <c r="AX42" s="1120" t="s">
        <v>1624</v>
      </c>
      <c r="AZ42" s="1120" t="s">
        <v>1216</v>
      </c>
      <c r="BE42" s="1120">
        <v>2040</v>
      </c>
      <c r="BH42" s="1068" t="s">
        <v>1048</v>
      </c>
      <c r="BJ42" s="1217" t="s">
        <v>1028</v>
      </c>
      <c r="BL42" s="1217" t="s">
        <v>1028</v>
      </c>
      <c r="BN42" s="1068" t="s">
        <v>1625</v>
      </c>
    </row>
    <row customHeight="1" ht="11.25">
      <c r="A43" s="1074" t="s">
        <v>1626</v>
      </c>
      <c r="AX43" s="1120" t="s">
        <v>1627</v>
      </c>
      <c r="AZ43" s="1120" t="s">
        <v>1241</v>
      </c>
      <c r="BE43" s="1120">
        <v>2041</v>
      </c>
      <c r="BH43" s="1068" t="s">
        <v>1628</v>
      </c>
      <c r="BJ43" s="1217" t="s">
        <v>1622</v>
      </c>
      <c r="BL43" s="1217" t="s">
        <v>1622</v>
      </c>
      <c r="BN43" s="1068" t="s">
        <v>1629</v>
      </c>
    </row>
    <row customHeight="1" ht="11.25">
      <c r="A44" s="1074" t="s">
        <v>1630</v>
      </c>
      <c r="G44" s="1094">
        <f>YEAR(TODAY())</f>
        <v>2025</v>
      </c>
      <c r="I44" s="799" t="s">
        <v>1631</v>
      </c>
      <c r="J44" s="1089" t="s">
        <v>1632</v>
      </c>
      <c r="K44" s="1089" t="s">
        <v>1633</v>
      </c>
      <c r="AX44" s="1120" t="s">
        <v>1634</v>
      </c>
      <c r="AZ44" s="1120" t="s">
        <v>1277</v>
      </c>
      <c r="BE44" s="1120">
        <v>2042</v>
      </c>
      <c r="BH44" s="1068" t="s">
        <v>1635</v>
      </c>
      <c r="BJ44" s="1217" t="s">
        <v>1048</v>
      </c>
      <c r="BL44" s="1217" t="s">
        <v>1048</v>
      </c>
      <c r="BN44" s="1068" t="s">
        <v>1636</v>
      </c>
    </row>
    <row customHeight="1" ht="11.25">
      <c r="A45" s="1074" t="s">
        <v>1637</v>
      </c>
      <c r="D45" s="1111" t="s">
        <v>1638</v>
      </c>
      <c r="E45" s="1112" t="s">
        <v>1639</v>
      </c>
      <c r="F45" s="797" t="s">
        <v>1640</v>
      </c>
      <c r="G45" s="796" t="s">
        <v>1641</v>
      </c>
      <c r="H45" s="799" t="s">
        <v>1642</v>
      </c>
      <c r="I45" s="1741">
        <f>INDEX(PeriodIsEmptyList,MATCH(TEMPLATE_GROUP,CodeTemplateList,0),1)</f>
        <v>0</v>
      </c>
      <c r="J45" s="1744" t="str">
        <f>INDEX(NameTemplatesInTitleList,MATCH(TEMPLATE_GROUP,CodeTemplateList,0),1)</f>
        <v>Информация о наличии (отсутствии) технической возможности подключения к централизованной системе теплоснабжения, а также о регистрации и ходе реализации заявок о подключении к централизованной системе теплоснабжения</v>
      </c>
      <c r="K45" s="1744" t="str">
        <f>"Перечень муниципальных районов и муниципальных образований (территорий "&amp;IF(OR(TEMPLATE_GROUP="P",TEMPLATE_GROUP="R",TEMPLATE_GROUP="Q"),"действия тарифа","оказания услуг")&amp;")"</f>
        <v>Перечень муниципальных районов и муниципальных образований (территорий действия тарифа)</v>
      </c>
      <c r="AX45" s="1120" t="s">
        <v>1643</v>
      </c>
      <c r="AZ45" s="1120" t="s">
        <v>1310</v>
      </c>
      <c r="BE45" s="1120">
        <v>2043</v>
      </c>
      <c r="BH45" s="1068" t="s">
        <v>1644</v>
      </c>
      <c r="BJ45" s="1217" t="s">
        <v>1042</v>
      </c>
      <c r="BL45" s="1217" t="s">
        <v>1042</v>
      </c>
      <c r="BN45" s="1068" t="s">
        <v>1645</v>
      </c>
    </row>
    <row customHeight="1" ht="11.25">
      <c r="A46" s="1074" t="s">
        <v>1646</v>
      </c>
      <c r="E46" s="407" t="s">
        <v>27</v>
      </c>
      <c r="F46" s="1114" t="s">
        <v>1647</v>
      </c>
      <c r="G46" s="1116" t="str">
        <f>_xlfn.IFERROR(IF(TITLE_DATE_FIL="","01.01."&amp;CURRENT_YEAR,"01.01."&amp;YEAR(TITLE_DATE_FIL)),"01.01."&amp;CURRENT_YEAR)</f>
        <v>01.01.2025</v>
      </c>
      <c r="H46" s="1116" t="str">
        <f>_xlfn.IFERROR(IF(TITLE_DATE_FIL="","31.12."&amp;CURRENT_YEAR,"31.12."&amp;YEAR(TITLE_DATE_FIL)),"31.12."&amp;CURRENT_YEAR)</f>
        <v>31.12.2025</v>
      </c>
      <c r="I46" s="1742">
        <f>IF(TITLE_DATE_FIL="",TRUE,FALSE)</f>
        <v>1</v>
      </c>
      <c r="J46" s="1745" t="str">
        <f>"Общая информация о регулируемой организации ("&amp;TEMPLATE_SPHERE_RUS&amp;")"</f>
        <v>Общая информация о регулируемой организации (теплоснабжения)</v>
      </c>
      <c r="K46" s="1746"/>
      <c r="AX46" s="1120" t="s">
        <v>1648</v>
      </c>
      <c r="AZ46" s="1120" t="s">
        <v>1335</v>
      </c>
      <c r="BE46" s="1120">
        <v>2044</v>
      </c>
      <c r="BH46" s="1068" t="s">
        <v>1051</v>
      </c>
      <c r="BJ46" s="1217" t="s">
        <v>1032</v>
      </c>
      <c r="BL46" s="1217" t="s">
        <v>1032</v>
      </c>
      <c r="BN46" s="1068" t="s">
        <v>1649</v>
      </c>
    </row>
    <row customHeight="1" ht="11.25">
      <c r="A47" s="1074" t="s">
        <v>1650</v>
      </c>
      <c r="E47" s="407" t="s">
        <v>33</v>
      </c>
      <c r="F47" s="1115" t="s">
        <v>1639</v>
      </c>
      <c r="G47" s="1116" t="str">
        <f>_xlfn.IFERROR(IF(f_year="","01.01."&amp;CURRENT_YEAR,IF(LEN(f_quart)=0,"01.01."&amp;f_year,IF(f_quart="I квартал","01.01."&amp;f_year,IF(f_quart="II квартал","01.04."&amp;f_year,(IF(f_quart="III квартал","01.07."&amp;f_year,"01.10."&amp;f_year)))))),"01.01."&amp;CURRENT_YEAR)</f>
        <v>01.04.2025</v>
      </c>
      <c r="H47" s="1116" t="str">
        <f>_xlfn.IFERROR(IF(f_year="","31.12."&amp;CURRENT_YEAR,IF(LEN(f_quart)=0,"31.12."&amp;f_year,IF(f_quart="I квартал","31.03."&amp;f_year,IF(f_quart="II квартал","30.06."&amp;f_year,(IF(f_quart="III квартал","30.09."&amp;f_year,"31.12."&amp;f_year)))))),"31.12."&amp;CURRENT_YEAR)</f>
        <v>30.06.2025</v>
      </c>
      <c r="I47" s="1743">
        <f>IF(OR(f_year="",f_quart=""),TRUE,FALSE)</f>
        <v>0</v>
      </c>
      <c r="J47" s="1745" t="str">
        <f>"Информация о наличии (отсутствии) технической возможности подключения к централизованной системе "&amp;TEMPLATE_SPHERE_RUS&amp;", а также о регистрации и ходе реализации заявок о подключении к централизованной системе "&amp;TEMPLATE_SPHERE_RUS</f>
        <v>Информация о наличии (отсутствии) технической возможности подключения к централизованной системе теплоснабжения, а также о регистрации и ходе реализации заявок о подключении к централизованной системе теплоснабжения</v>
      </c>
      <c r="K47" s="1746"/>
      <c r="AX47" s="1120" t="s">
        <v>1651</v>
      </c>
      <c r="AZ47" s="1120" t="s">
        <v>1354</v>
      </c>
      <c r="BE47" s="1120">
        <v>2045</v>
      </c>
      <c r="BH47" s="1068" t="s">
        <v>1625</v>
      </c>
      <c r="BJ47" s="1217" t="s">
        <v>1034</v>
      </c>
      <c r="BL47" s="1217" t="s">
        <v>1034</v>
      </c>
      <c r="BN47" s="1068" t="s">
        <v>1652</v>
      </c>
    </row>
    <row customHeight="1" ht="11.25">
      <c r="A48" s="1074" t="s">
        <v>1653</v>
      </c>
      <c r="E48" s="407" t="s">
        <v>1654</v>
      </c>
      <c r="F48" s="1115" t="s">
        <v>1655</v>
      </c>
      <c r="G48" s="1116" t="str">
        <f>_xlfn.IFERROR(IF(f_year="","01.01."&amp;CURRENT_YEAR,"01.01."&amp;f_year),"01.01."&amp;CURRENT_YEAR)</f>
        <v>01.01.2025</v>
      </c>
      <c r="H48" s="1116" t="str">
        <f>_xlfn.IFERROR(IF(f_year="","31.12."&amp;CURRENT_YEAR,"31.12."&amp;f_year),"31.12."&amp;CURRENT_YEAR)</f>
        <v>31.12.2025</v>
      </c>
      <c r="I48" s="1742">
        <f>IF(f_year="",TRUE,FALSE)</f>
        <v>0</v>
      </c>
      <c r="J48" s="1745" t="s">
        <v>1656</v>
      </c>
      <c r="K48" s="1746"/>
      <c r="AX48" s="1120" t="s">
        <v>1657</v>
      </c>
      <c r="AZ48" s="1120" t="s">
        <v>1371</v>
      </c>
      <c r="BE48" s="1120">
        <v>2046</v>
      </c>
      <c r="BH48" s="1068" t="s">
        <v>1629</v>
      </c>
      <c r="BJ48" s="1217" t="s">
        <v>1036</v>
      </c>
      <c r="BL48" s="1217" t="s">
        <v>1036</v>
      </c>
      <c r="BN48" s="1068" t="s">
        <v>1658</v>
      </c>
    </row>
    <row customHeight="1" ht="11.25">
      <c r="A49" s="1074" t="s">
        <v>1659</v>
      </c>
      <c r="E49" s="407" t="s">
        <v>1660</v>
      </c>
      <c r="F49" s="1115" t="s">
        <v>1661</v>
      </c>
      <c r="G49" s="1116" t="str">
        <f>_xlfn.IFERROR(IF(f_year="","01.01."&amp;CURRENT_YEAR,"01.01."&amp;f_year),"01.01."&amp;CURRENT_YEAR)</f>
        <v>01.01.2025</v>
      </c>
      <c r="H49" s="1116" t="str">
        <f>_xlfn.IFERROR(IF(f_year="","31.12."&amp;CURRENT_YEAR,"31.12."&amp;f_year),"31.12."&amp;CURRENT_YEAR)</f>
        <v>31.12.2025</v>
      </c>
      <c r="I49" s="1742">
        <f>IF(f_year="",TRUE,FALSE)</f>
        <v>0</v>
      </c>
      <c r="J49" s="1745" t="str">
        <f>"Информация об условиях, на которых осуществляется поставка товаров (оказание услуг) в сфере "&amp;TEMPLATE_SPHERE_RUS</f>
        <v>Информация об условиях, на которых осуществляется поставка товаров (оказание услуг) в сфере теплоснабжения</v>
      </c>
      <c r="K49" s="1746"/>
      <c r="AX49" s="1120" t="s">
        <v>1662</v>
      </c>
      <c r="AZ49" s="1120" t="s">
        <v>1387</v>
      </c>
      <c r="BE49" s="1120">
        <v>2047</v>
      </c>
      <c r="BH49" s="1068" t="s">
        <v>1052</v>
      </c>
      <c r="BJ49" s="1217" t="s">
        <v>1038</v>
      </c>
      <c r="BL49" s="1217" t="s">
        <v>1038</v>
      </c>
    </row>
    <row customHeight="1" ht="11.25">
      <c r="A50" s="1074" t="s">
        <v>1663</v>
      </c>
      <c r="E50" s="407" t="s">
        <v>1664</v>
      </c>
      <c r="F50" s="1115" t="s">
        <v>1022</v>
      </c>
      <c r="G50" s="1116" t="str">
        <f>_xlfn.IFERROR(IF(f_year="","01.01."&amp;CURRENT_YEAR,"01.01."&amp;f_year),"01.01."&amp;CURRENT_YEAR)</f>
        <v>01.01.2025</v>
      </c>
      <c r="H50" s="1116" t="str">
        <f>_xlfn.IFERROR(IF(f_year="","31.12."&amp;CURRENT_YEAR,"31.12."&amp;f_year),"31.12."&amp;CURRENT_YEAR)</f>
        <v>31.12.2025</v>
      </c>
      <c r="I50" s="1742">
        <f>IF(f_year="",TRUE,FALSE)</f>
        <v>0</v>
      </c>
      <c r="J50" s="1745" t="str">
        <f>"Информация об инвестиционных программах регулируемой организации в области "&amp;TEMPLATE_SPHERE_RUS</f>
        <v>Информация об инвестиционных программах регулируемой организации в области теплоснабжения</v>
      </c>
      <c r="K50" s="1746"/>
      <c r="AX50" s="1120" t="s">
        <v>1665</v>
      </c>
      <c r="AZ50" s="1120" t="s">
        <v>1402</v>
      </c>
      <c r="BE50" s="1120">
        <v>2048</v>
      </c>
      <c r="BH50" s="1068" t="s">
        <v>1636</v>
      </c>
      <c r="BJ50" s="1217" t="s">
        <v>1040</v>
      </c>
      <c r="BL50" s="1217" t="s">
        <v>1040</v>
      </c>
    </row>
    <row customHeight="1" ht="11.25">
      <c r="A51" s="1074" t="s">
        <v>1666</v>
      </c>
      <c r="E51" s="407" t="s">
        <v>1667</v>
      </c>
      <c r="F51" s="1115" t="s">
        <v>1668</v>
      </c>
      <c r="G51" s="1116" t="str">
        <f>_xlfn.IFERROR(IF(TITLE_PERIOD_START="","01.01."&amp;CURRENT_YEAR,"01.01."&amp;YEAR(TITLE_PERIOD_START)),"01.01."&amp;CURRENT_YEAR)</f>
        <v>01.01.2025</v>
      </c>
      <c r="H51" s="1116" t="str">
        <f>_xlfn.IFERROR(IF(TITLE_PERIOD_END="","31.12."&amp;CURRENT_YEAR,"31.12."&amp;YEAR(TITLE_PERIOD_END)),"31.12."&amp;CURRENT_YEAR)</f>
        <v>31.12.2025</v>
      </c>
      <c r="I51" s="1743">
        <f>IF(OR(TITLE_PERIOD_START="",TITLE_PERIOD_END=""),TRUE,FALSE)</f>
        <v>1</v>
      </c>
      <c r="J51" s="1745" t="str">
        <f>"Предложение регулируемой организации об установлении тарифов в сфере "&amp;TEMPLATE_SPHERE_RUS&amp;", информация о способах приобретения, стоимости и объемах товаров, необходимых для производства регулируемых товаров и (или) оказания регулируемых услуг"</f>
        <v>Предложение регулируемой организации об установлении тарифов в сфере теплоснабжения, информация о способах приобретения, стоимости и объемах товаров, необходимых для производства регулируемых товаров и (или) оказания регулируемых услуг</v>
      </c>
      <c r="K51" s="1746"/>
      <c r="AX51" s="1120" t="s">
        <v>1669</v>
      </c>
      <c r="AZ51" s="1120" t="s">
        <v>1418</v>
      </c>
      <c r="BE51" s="1120">
        <v>2049</v>
      </c>
      <c r="BH51" s="1068" t="s">
        <v>1645</v>
      </c>
      <c r="BJ51" s="1217" t="s">
        <v>1670</v>
      </c>
      <c r="BL51" s="1217" t="s">
        <v>1670</v>
      </c>
    </row>
    <row customHeight="1" ht="11.25">
      <c r="A52" s="1074" t="s">
        <v>1671</v>
      </c>
      <c r="E52" s="407" t="s">
        <v>1672</v>
      </c>
      <c r="F52" s="1115" t="s">
        <v>1673</v>
      </c>
      <c r="G52" s="1116" t="str">
        <f>_xlfn.IFERROR(IF(TITLE_PERIOD_START="","01.01."&amp;CURRENT_YEAR,"01.01."&amp;YEAR(TITLE_PERIOD_START)),"01.01."&amp;CURRENT_YEAR)</f>
        <v>01.01.2025</v>
      </c>
      <c r="H52" s="1116" t="str">
        <f>_xlfn.IFERROR(IF(TITLE_PERIOD_END="","31.12."&amp;CURRENT_YEAR,"31.12."&amp;YEAR(TITLE_PERIOD_END)),"31.12."&amp;CURRENT_YEAR)</f>
        <v>31.12.2025</v>
      </c>
      <c r="I52" s="1743">
        <f>IF(OR(TITLE_PERIOD_START="",TITLE_PERIOD_END=""),TRUE,FALSE)</f>
        <v>1</v>
      </c>
      <c r="J52" s="1745" t="str">
        <f>"Показатели, подлежащие раскрытию в сфере "&amp;TEMPLATE_SPHERE_RUS&amp;" (цены и тарифы)"</f>
        <v>Показатели, подлежащие раскрытию в сфере теплоснабжения (цены и тарифы)</v>
      </c>
      <c r="K52" s="1746"/>
      <c r="AX52" s="1120" t="s">
        <v>1674</v>
      </c>
      <c r="AZ52" s="1120" t="s">
        <v>1217</v>
      </c>
      <c r="BE52" s="1120">
        <v>2050</v>
      </c>
      <c r="BH52" s="1068" t="s">
        <v>1649</v>
      </c>
      <c r="BJ52" s="1217" t="s">
        <v>1051</v>
      </c>
      <c r="BL52" s="1217" t="s">
        <v>1051</v>
      </c>
    </row>
    <row customHeight="1" ht="11.25">
      <c r="A53" s="1074" t="s">
        <v>1675</v>
      </c>
      <c r="E53" s="407" t="s">
        <v>1676</v>
      </c>
      <c r="F53" s="1115" t="s">
        <v>1676</v>
      </c>
      <c r="G53" s="1116" t="str">
        <f>_xlfn.IFERROR(IF(f_year="","01.01."&amp;CURRENT_YEAR,"01.01."&amp;f_year),"01.01."&amp;CURRENT_YEAR)</f>
        <v>01.01.2025</v>
      </c>
      <c r="H53" s="1116" t="str">
        <f>_xlfn.IFERROR(IF(f_year="","31.12."&amp;CURRENT_YEAR,"31.12."&amp;f_year),"31.12."&amp;CURRENT_YEAR)</f>
        <v>31.12.2025</v>
      </c>
      <c r="I53" s="1742">
        <f>IF(AND(f_year="",TITLE_DATE_FIL=""),TRUE,FALSE)</f>
        <v>0</v>
      </c>
      <c r="J53" s="1745" t="s">
        <v>1677</v>
      </c>
      <c r="K53" s="1746"/>
      <c r="AX53" s="1120" t="s">
        <v>1678</v>
      </c>
      <c r="BE53" s="1120">
        <v>2051</v>
      </c>
      <c r="BH53" s="1068" t="s">
        <v>1652</v>
      </c>
      <c r="BJ53" s="1217" t="s">
        <v>1625</v>
      </c>
      <c r="BL53" s="1217" t="s">
        <v>1625</v>
      </c>
    </row>
    <row customHeight="1" ht="11.25">
      <c r="A54" s="1074" t="s">
        <v>1679</v>
      </c>
      <c r="AX54" s="1120" t="s">
        <v>1680</v>
      </c>
      <c r="AZ54" s="1067" t="s">
        <v>1681</v>
      </c>
      <c r="BE54" s="1120">
        <v>2052</v>
      </c>
      <c r="BH54" s="1068" t="s">
        <v>1658</v>
      </c>
      <c r="BJ54" s="1217" t="s">
        <v>1629</v>
      </c>
      <c r="BL54" s="1217" t="s">
        <v>1629</v>
      </c>
    </row>
    <row customHeight="1" ht="11.25">
      <c r="A55" s="1074" t="s">
        <v>1682</v>
      </c>
      <c r="AX55" s="1120" t="s">
        <v>1683</v>
      </c>
      <c r="AZ55" s="1120" t="s">
        <v>1219</v>
      </c>
      <c r="BE55" s="1120">
        <v>2053</v>
      </c>
      <c r="BH55" s="1070" t="s">
        <v>22</v>
      </c>
      <c r="BJ55" s="1217" t="s">
        <v>1052</v>
      </c>
      <c r="BL55" s="1217" t="s">
        <v>1052</v>
      </c>
    </row>
    <row customHeight="1" ht="11.25">
      <c r="A56" s="1074" t="s">
        <v>1684</v>
      </c>
      <c r="D56" s="1118" t="s">
        <v>1685</v>
      </c>
      <c r="E56" s="1095" t="s">
        <v>111</v>
      </c>
      <c r="F56" s="1074" t="s">
        <v>1686</v>
      </c>
      <c r="AX56" s="1120" t="s">
        <v>1687</v>
      </c>
      <c r="AZ56" s="1120" t="s">
        <v>1245</v>
      </c>
      <c r="BE56" s="1120">
        <v>2054</v>
      </c>
      <c r="BH56" s="1070" t="s">
        <v>22</v>
      </c>
      <c r="BJ56" s="1217" t="s">
        <v>1636</v>
      </c>
      <c r="BL56" s="1217" t="s">
        <v>1636</v>
      </c>
    </row>
    <row customHeight="1" ht="11.25">
      <c r="A57" s="1074" t="s">
        <v>1688</v>
      </c>
      <c r="D57" s="1118" t="s">
        <v>1689</v>
      </c>
      <c r="E57" s="1095" t="s">
        <v>1678</v>
      </c>
      <c r="F57" s="1074" t="s">
        <v>1686</v>
      </c>
      <c r="AX57" s="1120" t="s">
        <v>1690</v>
      </c>
      <c r="AZ57" s="1120" t="s">
        <v>1280</v>
      </c>
      <c r="BE57" s="1120">
        <v>2055</v>
      </c>
      <c r="BJ57" s="1217" t="s">
        <v>1645</v>
      </c>
      <c r="BL57" s="1217" t="s">
        <v>1645</v>
      </c>
    </row>
    <row customHeight="1" ht="11.25">
      <c r="A58" s="1074" t="s">
        <v>1691</v>
      </c>
      <c r="D58" s="1118" t="s">
        <v>1692</v>
      </c>
      <c r="E58" s="1095" t="s">
        <v>111</v>
      </c>
      <c r="F58" s="1074" t="s">
        <v>1686</v>
      </c>
      <c r="AX58" s="1120" t="s">
        <v>1693</v>
      </c>
      <c r="BE58" s="1120">
        <v>2056</v>
      </c>
      <c r="BJ58" s="1217" t="s">
        <v>1649</v>
      </c>
      <c r="BL58" s="1217" t="s">
        <v>1649</v>
      </c>
    </row>
    <row customHeight="1" ht="11.25">
      <c r="A59" s="1074" t="s">
        <v>1694</v>
      </c>
      <c r="D59" s="1118" t="s">
        <v>135</v>
      </c>
      <c r="E59" s="1095" t="s">
        <v>1581</v>
      </c>
      <c r="F59" s="1074" t="s">
        <v>1695</v>
      </c>
      <c r="AX59" s="1120" t="s">
        <v>1696</v>
      </c>
      <c r="AZ59" s="1067" t="s">
        <v>1697</v>
      </c>
      <c r="BE59" s="1120">
        <v>2057</v>
      </c>
      <c r="BJ59" s="1217" t="s">
        <v>1652</v>
      </c>
      <c r="BL59" s="1217" t="s">
        <v>1652</v>
      </c>
    </row>
    <row customHeight="1" ht="11.25">
      <c r="A60" s="1074" t="s">
        <v>1698</v>
      </c>
      <c r="D60" s="1118" t="s">
        <v>1699</v>
      </c>
      <c r="E60" s="1095" t="s">
        <v>1581</v>
      </c>
      <c r="F60" s="1074" t="s">
        <v>1695</v>
      </c>
      <c r="AX60" s="1120" t="s">
        <v>1700</v>
      </c>
      <c r="AZ60" s="1120" t="s">
        <v>1220</v>
      </c>
      <c r="BE60" s="1120">
        <v>2058</v>
      </c>
      <c r="BJ60" s="1217" t="s">
        <v>1658</v>
      </c>
      <c r="BL60" s="1217" t="s">
        <v>1658</v>
      </c>
    </row>
    <row customHeight="1" ht="11.25">
      <c r="A61" s="1074" t="s">
        <v>1701</v>
      </c>
      <c r="D61" s="1118" t="s">
        <v>1702</v>
      </c>
      <c r="E61" s="1095" t="s">
        <v>1581</v>
      </c>
      <c r="F61" s="1074" t="s">
        <v>1695</v>
      </c>
      <c r="AX61" s="1120" t="s">
        <v>1703</v>
      </c>
      <c r="AZ61" s="1120" t="s">
        <v>1246</v>
      </c>
      <c r="BE61" s="1120">
        <v>2059</v>
      </c>
      <c r="BL61" s="1217" t="s">
        <v>1044</v>
      </c>
    </row>
    <row customHeight="1" ht="11.25">
      <c r="A62" s="1074" t="s">
        <v>1704</v>
      </c>
      <c r="D62" s="1118" t="s">
        <v>134</v>
      </c>
      <c r="E62" s="1095">
        <v>30</v>
      </c>
      <c r="F62" s="1074" t="s">
        <v>1695</v>
      </c>
      <c r="AZ62" s="1120" t="s">
        <v>1281</v>
      </c>
      <c r="BE62" s="1120">
        <v>2060</v>
      </c>
      <c r="BL62" s="1217" t="s">
        <v>1046</v>
      </c>
    </row>
    <row customHeight="1" ht="11.25">
      <c r="A63" s="1074" t="s">
        <v>1705</v>
      </c>
      <c r="D63" s="1118" t="s">
        <v>1706</v>
      </c>
      <c r="E63" s="1095">
        <v>30</v>
      </c>
      <c r="F63" s="1074" t="s">
        <v>1695</v>
      </c>
      <c r="AZ63" s="1120" t="s">
        <v>1313</v>
      </c>
      <c r="BE63" s="1120">
        <v>2061</v>
      </c>
    </row>
    <row customHeight="1" ht="11.25">
      <c r="A64" s="1074" t="s">
        <v>1707</v>
      </c>
      <c r="D64" s="1118" t="s">
        <v>1708</v>
      </c>
      <c r="E64" s="1095">
        <v>30</v>
      </c>
      <c r="F64" s="1074" t="s">
        <v>1695</v>
      </c>
      <c r="AZ64" s="1120" t="s">
        <v>1336</v>
      </c>
      <c r="BE64" s="1120">
        <v>2062</v>
      </c>
    </row>
    <row customHeight="1" ht="11.25">
      <c r="A65" s="1074" t="s">
        <v>1709</v>
      </c>
      <c r="D65" s="1074"/>
      <c r="BE65" s="1120">
        <v>2063</v>
      </c>
    </row>
    <row customHeight="1" ht="11.25">
      <c r="A66" s="1074" t="s">
        <v>1710</v>
      </c>
      <c r="AZ66" s="1067" t="s">
        <v>1711</v>
      </c>
      <c r="BE66" s="1120">
        <v>2064</v>
      </c>
    </row>
    <row customHeight="1" ht="11.25">
      <c r="A67" s="1074" t="s">
        <v>1712</v>
      </c>
      <c r="AZ67" s="1120" t="s">
        <v>1221</v>
      </c>
      <c r="BE67" s="1120">
        <v>2065</v>
      </c>
    </row>
    <row customHeight="1" ht="11.25">
      <c r="A68" s="1074" t="s">
        <v>1713</v>
      </c>
      <c r="AZ68" s="1120" t="s">
        <v>1247</v>
      </c>
      <c r="BE68" s="1120">
        <v>2066</v>
      </c>
      <c r="BH68" s="1067" t="s">
        <v>1714</v>
      </c>
      <c r="BJ68" s="1067" t="s">
        <v>1715</v>
      </c>
      <c r="BL68" s="1067" t="s">
        <v>1716</v>
      </c>
      <c r="BN68" s="1067" t="s">
        <v>1717</v>
      </c>
    </row>
    <row customHeight="1" ht="11.25">
      <c r="A69" s="1074" t="s">
        <v>1718</v>
      </c>
      <c r="AZ69" s="1120" t="s">
        <v>1282</v>
      </c>
      <c r="BE69" s="1120">
        <v>2067</v>
      </c>
      <c r="BH69" s="1068" t="s">
        <v>1719</v>
      </c>
      <c r="BI69" s="1117" t="s">
        <v>109</v>
      </c>
      <c r="BJ69" s="1068" t="s">
        <v>1720</v>
      </c>
      <c r="BK69" s="1117" t="s">
        <v>109</v>
      </c>
      <c r="BL69" s="1068" t="s">
        <v>1721</v>
      </c>
      <c r="BM69" s="1070" t="s">
        <v>109</v>
      </c>
      <c r="BN69" s="1068" t="s">
        <v>1722</v>
      </c>
    </row>
    <row customHeight="1" ht="11.25">
      <c r="A70" s="1074" t="s">
        <v>1723</v>
      </c>
      <c r="AZ70" s="1120" t="s">
        <v>1314</v>
      </c>
      <c r="BE70" s="1120">
        <v>2068</v>
      </c>
      <c r="BH70" s="1068" t="s">
        <v>1724</v>
      </c>
      <c r="BJ70" s="1068" t="s">
        <v>1725</v>
      </c>
      <c r="BL70" s="1068" t="s">
        <v>1726</v>
      </c>
      <c r="BN70" s="1068" t="s">
        <v>1727</v>
      </c>
    </row>
    <row customHeight="1" ht="11.25">
      <c r="A71" s="1074" t="s">
        <v>1728</v>
      </c>
      <c r="AZ71" s="1120" t="s">
        <v>1316</v>
      </c>
      <c r="BE71" s="1120">
        <v>2069</v>
      </c>
      <c r="BH71" s="1068" t="s">
        <v>1729</v>
      </c>
      <c r="BI71" s="1117" t="s">
        <v>90</v>
      </c>
      <c r="BJ71" s="1068" t="s">
        <v>1730</v>
      </c>
      <c r="BK71" s="1117" t="s">
        <v>90</v>
      </c>
      <c r="BL71" s="1068" t="s">
        <v>1731</v>
      </c>
      <c r="BM71" s="1070" t="s">
        <v>90</v>
      </c>
      <c r="BN71" s="1068" t="s">
        <v>1732</v>
      </c>
    </row>
    <row customHeight="1" ht="11.25">
      <c r="A72" s="1074" t="s">
        <v>1733</v>
      </c>
      <c r="AZ72" s="1120" t="s">
        <v>19</v>
      </c>
      <c r="BE72" s="1120">
        <v>2070</v>
      </c>
      <c r="BH72" s="1068" t="s">
        <v>1734</v>
      </c>
      <c r="BJ72" s="1068" t="s">
        <v>1734</v>
      </c>
      <c r="BL72" s="1068" t="s">
        <v>1734</v>
      </c>
      <c r="BN72" s="1068" t="s">
        <v>1735</v>
      </c>
    </row>
    <row customHeight="1" ht="11.25">
      <c r="A73" s="1074" t="s">
        <v>1736</v>
      </c>
      <c r="BH73" s="1068" t="s">
        <v>1737</v>
      </c>
      <c r="BI73" s="1117" t="s">
        <v>111</v>
      </c>
      <c r="BJ73" s="1068" t="s">
        <v>1738</v>
      </c>
      <c r="BK73" s="1117" t="s">
        <v>111</v>
      </c>
      <c r="BL73" s="1068" t="s">
        <v>1739</v>
      </c>
      <c r="BM73" s="1070" t="s">
        <v>111</v>
      </c>
      <c r="BN73" s="1068" t="s">
        <v>1740</v>
      </c>
    </row>
    <row customHeight="1" ht="11.25">
      <c r="A74" s="1074" t="s">
        <v>1741</v>
      </c>
      <c r="BH74" s="1068" t="s">
        <v>1742</v>
      </c>
      <c r="BJ74" s="1068" t="s">
        <v>1743</v>
      </c>
      <c r="BL74" s="1068" t="s">
        <v>1744</v>
      </c>
      <c r="BN74" s="1068" t="s">
        <v>1745</v>
      </c>
    </row>
    <row customHeight="1" ht="11.25">
      <c r="A75" s="1074" t="s">
        <v>1746</v>
      </c>
      <c r="AZ75" s="1067" t="s">
        <v>1747</v>
      </c>
      <c r="BH75" s="1068" t="s">
        <v>1748</v>
      </c>
      <c r="BJ75" s="1068" t="s">
        <v>1748</v>
      </c>
      <c r="BL75" s="1068" t="s">
        <v>1748</v>
      </c>
    </row>
    <row customHeight="1" ht="11.25">
      <c r="A76" s="1074" t="s">
        <v>1749</v>
      </c>
      <c r="AZ76" s="1120" t="s">
        <v>1230</v>
      </c>
      <c r="BH76" s="1068" t="s">
        <v>1750</v>
      </c>
      <c r="BJ76" s="1068" t="s">
        <v>1751</v>
      </c>
      <c r="BL76" s="1068" t="s">
        <v>1752</v>
      </c>
    </row>
    <row customHeight="1" ht="11.25">
      <c r="A77" s="1074" t="s">
        <v>1753</v>
      </c>
      <c r="AZ77" s="1120" t="s">
        <v>1257</v>
      </c>
    </row>
    <row customHeight="1" ht="11.25">
      <c r="A78" s="1074" t="s">
        <v>1754</v>
      </c>
      <c r="AZ78" s="1120" t="s">
        <v>1289</v>
      </c>
    </row>
    <row customHeight="1" ht="11.25">
      <c r="A79" s="1074" t="s">
        <v>1755</v>
      </c>
      <c r="AZ79" s="1120" t="s">
        <v>1320</v>
      </c>
      <c r="BH79" s="1067" t="s">
        <v>1756</v>
      </c>
      <c r="BJ79" s="1067" t="s">
        <v>1757</v>
      </c>
      <c r="BL79" s="1067" t="s">
        <v>1758</v>
      </c>
    </row>
    <row customHeight="1" ht="11.25">
      <c r="A80" s="1074" t="s">
        <v>1759</v>
      </c>
      <c r="AZ80" s="1120" t="s">
        <v>1341</v>
      </c>
      <c r="BH80" s="1068" t="s">
        <v>1760</v>
      </c>
      <c r="BJ80" s="1068" t="s">
        <v>1761</v>
      </c>
      <c r="BL80" s="1068" t="s">
        <v>1762</v>
      </c>
    </row>
    <row customHeight="1" ht="11.25">
      <c r="A81" s="1074" t="s">
        <v>1763</v>
      </c>
      <c r="AZ81" s="1120" t="s">
        <v>1358</v>
      </c>
      <c r="BH81" s="1068" t="s">
        <v>1764</v>
      </c>
      <c r="BJ81" s="1068" t="s">
        <v>1765</v>
      </c>
      <c r="BL81" s="1068" t="s">
        <v>1766</v>
      </c>
    </row>
    <row customHeight="1" ht="11.25">
      <c r="A82" s="1074" t="s">
        <v>1767</v>
      </c>
      <c r="AZ82" s="1120" t="s">
        <v>1373</v>
      </c>
      <c r="BH82" s="1068" t="s">
        <v>1768</v>
      </c>
      <c r="BJ82" s="1068" t="s">
        <v>1769</v>
      </c>
      <c r="BL82" s="1068" t="s">
        <v>1770</v>
      </c>
    </row>
    <row customHeight="1" ht="11.25">
      <c r="A83" s="1074" t="s">
        <v>1771</v>
      </c>
      <c r="BH83" s="1068" t="s">
        <v>1772</v>
      </c>
      <c r="BJ83" s="1068" t="s">
        <v>1773</v>
      </c>
      <c r="BL83" s="1068" t="s">
        <v>1774</v>
      </c>
    </row>
    <row customHeight="1" ht="11.25">
      <c r="A84" s="1074" t="s">
        <v>1775</v>
      </c>
      <c r="AZ84" s="1067" t="s">
        <v>1776</v>
      </c>
    </row>
    <row customHeight="1" ht="11.25">
      <c r="A85" s="1870" t="s">
        <v>1777</v>
      </c>
      <c r="AZ85" s="1120" t="s">
        <v>1778</v>
      </c>
    </row>
    <row customHeight="1" ht="11.25">
      <c r="A86" s="1074" t="s">
        <v>1779</v>
      </c>
      <c r="AZ86" s="1120" t="s">
        <v>1780</v>
      </c>
      <c r="BH86" s="1067" t="s">
        <v>1781</v>
      </c>
      <c r="BJ86" s="1067" t="s">
        <v>1782</v>
      </c>
      <c r="BL86" s="1067" t="s">
        <v>1783</v>
      </c>
    </row>
    <row customHeight="1" ht="11.25">
      <c r="A87" s="1074" t="s">
        <v>1784</v>
      </c>
      <c r="AZ87" s="1120" t="s">
        <v>1785</v>
      </c>
      <c r="BH87" s="1068" t="s">
        <v>1786</v>
      </c>
      <c r="BJ87" s="1068" t="s">
        <v>1787</v>
      </c>
      <c r="BL87" s="1068" t="s">
        <v>1788</v>
      </c>
    </row>
    <row customHeight="1" ht="11.25">
      <c r="A88" s="1074" t="s">
        <v>1789</v>
      </c>
      <c r="AZ88" s="1606"/>
      <c r="BH88" s="1068" t="s">
        <v>1790</v>
      </c>
      <c r="BJ88" s="1068" t="s">
        <v>1791</v>
      </c>
      <c r="BL88" s="1068" t="s">
        <v>1792</v>
      </c>
    </row>
    <row customHeight="1" ht="11.25">
      <c r="A89" s="1074" t="s">
        <v>1793</v>
      </c>
      <c r="AZ89" s="1067" t="s">
        <v>1794</v>
      </c>
    </row>
    <row customHeight="1" ht="11.25">
      <c r="A90" s="1074" t="s">
        <v>1795</v>
      </c>
      <c r="AZ90" s="1120" t="s">
        <v>1022</v>
      </c>
    </row>
    <row customHeight="1" ht="11.25">
      <c r="A91" s="1074" t="s">
        <v>1796</v>
      </c>
      <c r="AZ91" s="1120" t="s">
        <v>1058</v>
      </c>
      <c r="BH91" s="1067" t="s">
        <v>1797</v>
      </c>
      <c r="BJ91" s="1067" t="s">
        <v>1798</v>
      </c>
      <c r="BL91" s="1067" t="s">
        <v>1799</v>
      </c>
    </row>
    <row customHeight="1" ht="11.25">
      <c r="AZ92" s="1120" t="s">
        <v>1800</v>
      </c>
      <c r="BH92" s="1068" t="s">
        <v>1801</v>
      </c>
      <c r="BJ92" s="1068" t="s">
        <v>1802</v>
      </c>
      <c r="BL92" s="1068" t="s">
        <v>1803</v>
      </c>
    </row>
    <row customHeight="1" ht="11.25">
      <c r="AZ93" s="1120" t="s">
        <v>1804</v>
      </c>
      <c r="BH93" s="1068" t="s">
        <v>1805</v>
      </c>
      <c r="BJ93" s="1068" t="s">
        <v>1806</v>
      </c>
      <c r="BL93" s="1068" t="s">
        <v>1807</v>
      </c>
    </row>
    <row customHeight="1" ht="11.25">
      <c r="AZ94" s="1120" t="s">
        <v>1808</v>
      </c>
    </row>
    <row r="96" customHeight="1" ht="11.25">
      <c r="AZ96" s="1067" t="s">
        <v>1809</v>
      </c>
      <c r="BH96" s="1067" t="s">
        <v>1810</v>
      </c>
      <c r="BJ96" s="1067" t="s">
        <v>1811</v>
      </c>
      <c r="BL96" s="1067" t="s">
        <v>1812</v>
      </c>
      <c r="BN96" s="1067" t="s">
        <v>1813</v>
      </c>
    </row>
    <row customHeight="1" ht="11.25">
      <c r="AZ97" s="1901" t="s">
        <v>1814</v>
      </c>
      <c r="BA97" s="1902" t="s">
        <v>1815</v>
      </c>
      <c r="BH97" s="1068" t="s">
        <v>1816</v>
      </c>
      <c r="BJ97" s="1068" t="s">
        <v>1817</v>
      </c>
      <c r="BL97" s="1068" t="s">
        <v>1818</v>
      </c>
      <c r="BN97" s="1068" t="s">
        <v>1819</v>
      </c>
    </row>
    <row customHeight="1" ht="11.25">
      <c r="AZ98" s="1901" t="s">
        <v>1820</v>
      </c>
      <c r="BA98" s="1902" t="s">
        <v>1821</v>
      </c>
      <c r="BH98" s="1068" t="s">
        <v>1822</v>
      </c>
      <c r="BJ98" s="1068" t="s">
        <v>1823</v>
      </c>
      <c r="BL98" s="1068" t="s">
        <v>1824</v>
      </c>
      <c r="BN98" s="1068" t="s">
        <v>1825</v>
      </c>
    </row>
    <row customHeight="1" ht="22.5">
      <c r="AZ99" s="1901" t="s">
        <v>1826</v>
      </c>
      <c r="BA99" s="1902" t="str">
        <f>"не позднее чем за "&amp;IF(TEMPLATE_SPHERE="TKO","3","10")&amp;" дней до дня проведения заседания правления"</f>
        <v>не позднее чем за 10 дней до дня проведения заседания правления</v>
      </c>
      <c r="BH99" s="1068" t="s">
        <v>1827</v>
      </c>
      <c r="BJ99" s="1068" t="s">
        <v>1828</v>
      </c>
      <c r="BL99" s="1068" t="s">
        <v>1829</v>
      </c>
      <c r="BN99" s="1068" t="s">
        <v>1830</v>
      </c>
    </row>
    <row customHeight="1" ht="22.5">
      <c r="AZ100" s="1901" t="s">
        <v>1831</v>
      </c>
      <c r="BA100" s="1902" t="str">
        <f>"в течение "&amp;IF(TEMPLATE_SPHERE="HEAT","5","7")&amp;" рабочих дней со дня принятия соответствующего решения"</f>
        <v>в течение 5 рабочих дней со дня принятия соответствующего решения</v>
      </c>
      <c r="BJ100" s="1068" t="s">
        <v>1418</v>
      </c>
      <c r="BL100" s="1068" t="s">
        <v>1418</v>
      </c>
      <c r="BN100" s="1068" t="s">
        <v>1832</v>
      </c>
    </row>
    <row customHeight="1" ht="22.5">
      <c r="AZ101" s="1901" t="s">
        <v>1833</v>
      </c>
      <c r="BA101" s="1902" t="s">
        <v>1834</v>
      </c>
      <c r="BN101" s="1068" t="s">
        <v>1835</v>
      </c>
    </row>
    <row customHeight="1" ht="22.5">
      <c r="AZ102" s="1901" t="s">
        <v>1836</v>
      </c>
      <c r="BA102" s="1902" t="str">
        <f>"в течение "&amp;IF(TEMPLATE_SPHERE="HEAT","5","7")&amp;" рабочих дней со дня принятия соответствующего решения"</f>
        <v>в течение 5 рабочих дней со дня принятия соответствующего решения</v>
      </c>
      <c r="BN102" s="1068" t="s">
        <v>1837</v>
      </c>
    </row>
    <row customHeight="1" ht="11.25">
      <c r="AZ103" s="1901" t="s">
        <v>1838</v>
      </c>
      <c r="BA103" s="1902" t="s">
        <v>1839</v>
      </c>
      <c r="BN103" s="1068" t="s">
        <v>1840</v>
      </c>
    </row>
    <row customHeight="1" ht="11.25">
      <c r="BN104" s="1068" t="s">
        <v>1841</v>
      </c>
    </row>
    <row customHeight="1" ht="11.25">
      <c r="AZ105" s="1692" t="s">
        <v>1842</v>
      </c>
    </row>
    <row customHeight="1" ht="11.25">
      <c r="AZ106" s="1120" t="s">
        <v>1843</v>
      </c>
    </row>
    <row customHeight="1" ht="11.25">
      <c r="AZ107" s="1120" t="s">
        <v>1844</v>
      </c>
      <c r="BH107" s="1067" t="s">
        <v>1845</v>
      </c>
      <c r="BJ107" s="1067" t="s">
        <v>1846</v>
      </c>
      <c r="BL107" s="1067" t="s">
        <v>1847</v>
      </c>
      <c r="BN107" s="1067" t="s">
        <v>1848</v>
      </c>
    </row>
    <row customHeight="1" ht="11.25">
      <c r="AZ108" s="1120" t="s">
        <v>573</v>
      </c>
      <c r="BH108" s="1068" t="s">
        <v>1849</v>
      </c>
      <c r="BJ108" s="1068" t="s">
        <v>1850</v>
      </c>
      <c r="BL108" s="1068" t="s">
        <v>1504</v>
      </c>
      <c r="BN108" s="1068" t="s">
        <v>1851</v>
      </c>
    </row>
    <row customHeight="1" ht="11.25">
      <c r="BH109" s="1068" t="s">
        <v>1852</v>
      </c>
    </row>
    <row customHeight="1" ht="11.25">
      <c r="AZ110" s="1692" t="s">
        <v>1853</v>
      </c>
      <c r="BH110" s="1068" t="s">
        <v>1852</v>
      </c>
    </row>
    <row customHeight="1" ht="11.25">
      <c r="AZ111" s="1901" t="s">
        <v>1814</v>
      </c>
      <c r="BA111" s="1902" t="s">
        <v>1815</v>
      </c>
    </row>
    <row customHeight="1" ht="11.25">
      <c r="AZ112" s="1901" t="s">
        <v>1820</v>
      </c>
      <c r="BA112" s="1902" t="s">
        <v>1821</v>
      </c>
    </row>
    <row customHeight="1" ht="22.5">
      <c r="AZ113" s="1901" t="s">
        <v>1826</v>
      </c>
      <c r="BA113" s="1902" t="str">
        <f>"не позднее чем за "&amp;IF(TEMPLATE_SPHERE="TKO","3","10")&amp;" дней до дня проведения заседания правления"</f>
        <v>не позднее чем за 10 дней до дня проведения заседания правления</v>
      </c>
    </row>
    <row customHeight="1" ht="22.5">
      <c r="AZ114" s="1901" t="s">
        <v>1831</v>
      </c>
      <c r="BA114" s="1902" t="str">
        <f>"в течение "&amp;IF(TEMPLATE_SPHERE="HEAT","5","7")&amp;" рабочих дней со дня принятия соответствующего решения"</f>
        <v>в течение 5 рабочих дней со дня принятия соответствующего решения</v>
      </c>
      <c r="BH114" s="1067" t="s">
        <v>1854</v>
      </c>
    </row>
    <row customHeight="1" ht="22.5">
      <c r="AZ115" s="1901" t="s">
        <v>1836</v>
      </c>
      <c r="BA115" s="1902" t="str">
        <f>"в течение "&amp;IF(TEMPLATE_SPHERE="HEAT","5","7")&amp;" рабочих дней со дня принятия соответствующего решения"</f>
        <v>в течение 5 рабочих дней со дня принятия соответствующего решения</v>
      </c>
      <c r="BH115" s="1068" t="s">
        <v>1217</v>
      </c>
    </row>
    <row customHeight="1" ht="11.25">
      <c r="AZ116" s="1901" t="s">
        <v>1838</v>
      </c>
      <c r="BA116" s="1902" t="s">
        <v>1839</v>
      </c>
      <c r="BH116" s="1068" t="s">
        <v>1243</v>
      </c>
    </row>
    <row customHeight="1" ht="11.25">
      <c r="BH117" s="1068" t="s">
        <v>1278</v>
      </c>
    </row>
    <row customHeight="1" ht="11.25">
      <c r="BH118" s="1068" t="s">
        <v>1311</v>
      </c>
    </row>
  </sheetData>
  <sheetProtection formatColumns="0" formatRows="0" sort="0" autoFilter="0" insertRows="0" insertColumns="1" deleteRows="0" deleteColumns="0"/>
  <pageMargins left="0.75" right="0.75" top="1.00" bottom="1.00" header="0.50" footer="0.50"/>
  <pageSetup paperSize="9" pageOrder="downThenOver" orientation="portrait"/>
  <headerFooter>
    <oddHeader>&amp;L&amp;C&amp;R</oddHeader>
    <oddFooter>&amp;L&amp;C&amp;R</oddFooter>
    <evenHeader>&amp;L&amp;C&amp;R</evenHeader>
    <evenFooter>&amp;L&amp;C&amp;R</evenFooter>
  </headerFooter>
  <legacyDrawing r:id="rId2"/>
</worksheet>
</file>

<file path=xl/worksheets/sheet5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522E568-4A19-14CE-FD33-7D62D5C9EF19}" mc:Ignorable="x14ac xr xr2 xr3">
  <dimension ref="A1:J25"/>
  <sheetViews>
    <sheetView showGridLines="0" zoomScale="90" workbookViewId="0">
      <pane xSplit="5" ySplit="11" topLeftCell="F12" activePane="bottomRight" state="frozen"/>
      <selection pane="bottomLeft" activeCell="A12" sqref="A12"/>
      <selection pane="topRight" activeCell="F1" sqref="F1"/>
      <selection pane="bottomRight" activeCell="A1" sqref="A1"/>
    </sheetView>
  </sheetViews>
  <sheetFormatPr defaultColWidth="9.140625" customHeight="1" defaultRowHeight="11.25"/>
  <cols>
    <col min="1" max="2" style="501" width="15.00390625" hidden="1" customWidth="1"/>
    <col min="3" max="3" style="455" width="3.00390625" customWidth="1"/>
    <col min="4" max="4" style="456" width="6.00390625" customWidth="1"/>
    <col min="5" max="5" style="455" width="52.00390625" customWidth="1"/>
    <col min="6" max="6" style="455" width="48.00390625" customWidth="1"/>
    <col min="7" max="7" style="455" width="93.00390625" customWidth="1"/>
    <col min="8" max="8" style="455" width="8.00390625" customWidth="1"/>
    <col min="9" max="9" style="455" width="64.00390625" customWidth="1"/>
    <col min="10" max="10" style="455" width="9.140625" hidden="1"/>
  </cols>
  <sheetData>
    <row customHeight="1" ht="11.25" hidden="1">
      <c r="A1" s="501" t="s">
        <v>301</v>
      </c>
      <c r="J1" s="455" t="s">
        <v>14</v>
      </c>
    </row>
    <row customHeight="1" ht="22.5" hidden="1">
      <c r="A2" s="502"/>
      <c r="B2" s="502"/>
      <c r="C2" s="1730" t="s">
        <v>122</v>
      </c>
      <c r="D2" s="1520"/>
      <c r="E2" s="1526"/>
      <c r="F2" s="1549"/>
      <c r="H2" s="475"/>
      <c r="J2" s="455">
        <v>0</v>
      </c>
    </row>
    <row customHeight="1" ht="11.25" hidden="1">
      <c r="J3" s="455">
        <v>0</v>
      </c>
    </row>
    <row customHeight="1" ht="11.549999999999999">
      <c r="A4" s="1550"/>
      <c r="B4" s="1550"/>
      <c r="J4" s="455">
        <v>11</v>
      </c>
    </row>
    <row customHeight="1" ht="27.299999999999997">
      <c r="D5" s="2238" t="str">
        <f>"Форма "&amp;IF(TEMPLATE_SPHERE="HEAT","2","1")&amp;". Информация об органе регулирования тарифов в сфере "&amp;IF(OR(TEMPLATE_SPHERE="HEAT",TEMPLATE_SPHERE="TKO"),TEMPLATE_SPHERE_RUS,"водоснабжения и водоотведения")&amp;" (далее – орган регулирования тарифов)"</f>
        <v>Форма 2. Информация об органе регулирования тарифов в сфере теплоснабжения (далее – орган регулирования тарифов)</v>
      </c>
      <c r="E5" s="2239"/>
      <c r="F5" s="2240"/>
      <c r="I5" s="715"/>
      <c r="J5" s="455">
        <v>26</v>
      </c>
    </row>
    <row customHeight="1" ht="18">
      <c r="D6" s="2176" t="str">
        <f>IF(region_name=0,"Не определено",region_name)</f>
        <v>Вологодская область</v>
      </c>
      <c r="E6" s="2176"/>
      <c r="F6" s="2176"/>
      <c r="I6" s="715"/>
      <c r="J6" s="455">
        <v>17</v>
      </c>
    </row>
    <row s="477" customFormat="1" customHeight="1" ht="11.549999999999999">
      <c r="A7" s="501"/>
      <c r="B7" s="501"/>
      <c r="D7" s="714"/>
      <c r="E7" s="714"/>
      <c r="F7" s="752"/>
      <c r="G7" s="714"/>
      <c r="J7" s="477">
        <v>11</v>
      </c>
    </row>
    <row customHeight="1" ht="11.25" hidden="1">
      <c r="A8" s="502"/>
      <c r="B8" s="502"/>
      <c r="C8" s="457"/>
      <c r="D8" s="463"/>
      <c r="E8" s="2207"/>
      <c r="F8" s="2207"/>
      <c r="J8" s="455">
        <v>0</v>
      </c>
    </row>
    <row customHeight="1" ht="11.549999999999999">
      <c r="A9" s="502"/>
      <c r="B9" s="502"/>
      <c r="C9" s="457"/>
      <c r="D9" s="2204" t="s">
        <v>302</v>
      </c>
      <c r="E9" s="2205"/>
      <c r="F9" s="2205"/>
      <c r="G9" s="2208" t="s">
        <v>303</v>
      </c>
      <c r="J9" s="455">
        <v>11</v>
      </c>
    </row>
    <row customHeight="1" ht="11.549999999999999">
      <c r="A10" s="502"/>
      <c r="B10" s="502"/>
      <c r="C10" s="457"/>
      <c r="D10" s="1474" t="s">
        <v>88</v>
      </c>
      <c r="E10" s="1476" t="s">
        <v>304</v>
      </c>
      <c r="F10" s="1476" t="s">
        <v>305</v>
      </c>
      <c r="G10" s="2209"/>
      <c r="J10" s="455">
        <v>11</v>
      </c>
    </row>
    <row customHeight="1" ht="1.05">
      <c r="A11" s="502"/>
      <c r="B11" s="502"/>
      <c r="C11" s="457"/>
      <c r="D11" s="464"/>
      <c r="E11" s="464"/>
      <c r="F11" s="464"/>
      <c r="G11" s="464"/>
      <c r="J11" s="455">
        <v>1</v>
      </c>
    </row>
    <row customHeight="1" ht="24">
      <c r="A12" s="502"/>
      <c r="B12" s="502"/>
      <c r="C12" s="457"/>
      <c r="D12" s="1520">
        <v>1</v>
      </c>
      <c r="E12" s="474" t="str">
        <f>"Наименование "&amp;IF(TEMPLATE_SPHERE="TKO","регионального органа","органа "&amp;IF(TEMPLATE_SPHERE="HEAT","тарифного ",""))&amp;"регулирования "&amp;IF(TEMPLATE_SPHERE="TKO","(орган местного самоуправления)",IF(TEMPLATE_SPHERE="HEAT","","тарифов"))</f>
        <v>Наименование органа тарифного регулирования </v>
      </c>
      <c r="F12" s="1908" t="str">
        <f>IF(org="","",org)</f>
        <v>ПАО "ОГК-2"</v>
      </c>
      <c r="G12" s="474" t="str">
        <f>"Указывается в соответствии с нормативным правовым актом, на основании которого "&amp;IF(TEMPLATE_SPHERE="TKO","региональный орган","орган "&amp;IF(TEMPLATE_SPHERE="HEAT","тарифного ",""))&amp;" регулирования "&amp;IF(TEMPLATE_SPHERE="TKO","(орган местного самоуправления)",IF(TEMPLATE_SPHERE="HEAT","","тарифов"))&amp;" образован."</f>
        <v>Указывается в соответствии с нормативным правовым актом, на основании которого орган тарифного  регулирования  образован.</v>
      </c>
      <c r="H12" s="1533"/>
      <c r="J12" s="455">
        <v>23</v>
      </c>
    </row>
    <row customHeight="1" ht="19.95">
      <c r="A13" s="502"/>
      <c r="B13" s="502"/>
      <c r="C13" s="457"/>
      <c r="D13" s="1520">
        <v>2</v>
      </c>
      <c r="E13" s="1527" t="s">
        <v>1855</v>
      </c>
      <c r="F13" s="1521" t="s">
        <v>308</v>
      </c>
      <c r="G13" s="474"/>
      <c r="H13" s="1533"/>
      <c r="J13" s="455">
        <v>19</v>
      </c>
    </row>
    <row customHeight="1" ht="19.95">
      <c r="A14" s="502"/>
      <c r="B14" s="502"/>
      <c r="C14" s="457"/>
      <c r="D14" s="1523" t="s">
        <v>711</v>
      </c>
      <c r="E14" s="1524" t="s">
        <v>1856</v>
      </c>
      <c r="F14" s="1526"/>
      <c r="G14" s="1525" t="s">
        <v>1857</v>
      </c>
      <c r="H14" s="1533"/>
      <c r="J14" s="455">
        <v>19</v>
      </c>
    </row>
    <row customHeight="1" ht="19.95">
      <c r="A15" s="502"/>
      <c r="B15" s="502"/>
      <c r="C15" s="457"/>
      <c r="D15" s="1523" t="s">
        <v>309</v>
      </c>
      <c r="E15" s="1524" t="s">
        <v>1858</v>
      </c>
      <c r="F15" s="1526"/>
      <c r="G15" s="1525" t="s">
        <v>1859</v>
      </c>
      <c r="H15" s="1533"/>
      <c r="J15" s="455">
        <v>19</v>
      </c>
    </row>
    <row customHeight="1" ht="24">
      <c r="A16" s="502"/>
      <c r="B16" s="502"/>
      <c r="C16" s="457"/>
      <c r="D16" s="1523" t="s">
        <v>312</v>
      </c>
      <c r="E16" s="1522" t="s">
        <v>1860</v>
      </c>
      <c r="F16" s="1531"/>
      <c r="G16" s="474" t="s">
        <v>1861</v>
      </c>
      <c r="H16" s="1533"/>
      <c r="J16" s="455">
        <v>23</v>
      </c>
    </row>
    <row customHeight="1" ht="48.29999999999999">
      <c r="A17" s="502"/>
      <c r="B17" s="502"/>
      <c r="C17" s="457"/>
      <c r="D17" s="1520">
        <v>3</v>
      </c>
      <c r="E17" s="1527" t="s">
        <v>1862</v>
      </c>
      <c r="F17" s="1526"/>
      <c r="G17" s="474" t="s">
        <v>1863</v>
      </c>
      <c r="H17" s="1533"/>
      <c r="J17" s="455">
        <v>46</v>
      </c>
    </row>
    <row customHeight="1" ht="48.29999999999999">
      <c r="A18" s="1475">
        <v>1</v>
      </c>
      <c r="B18" s="502"/>
      <c r="C18" s="1477"/>
      <c r="D18" s="1520" t="s">
        <v>91</v>
      </c>
      <c r="E18" s="1527" t="s">
        <v>1864</v>
      </c>
      <c r="F18" s="1526"/>
      <c r="G18" s="474" t="s">
        <v>1863</v>
      </c>
      <c r="H18" s="1533"/>
      <c r="I18" s="852"/>
      <c r="J18" s="455">
        <v>46</v>
      </c>
    </row>
    <row customHeight="1" ht="23.25">
      <c r="A19" s="502"/>
      <c r="B19" s="502"/>
      <c r="C19" s="457"/>
      <c r="D19" s="1520" t="s">
        <v>111</v>
      </c>
      <c r="E19" s="1527" t="s">
        <v>1865</v>
      </c>
      <c r="F19" s="1521" t="s">
        <v>308</v>
      </c>
      <c r="G19" s="2471" t="s">
        <v>1866</v>
      </c>
      <c r="H19" s="475"/>
      <c r="J19" s="455">
        <v>22</v>
      </c>
    </row>
    <row s="1530" customFormat="1" customHeight="1" ht="5.25" hidden="1">
      <c r="A20" s="502"/>
      <c r="B20" s="502"/>
      <c r="C20" s="1529"/>
      <c r="D20" s="1528" t="s">
        <v>1119</v>
      </c>
      <c r="E20" s="1014"/>
      <c r="F20" s="1013"/>
      <c r="G20" s="2472"/>
      <c r="J20" s="1530">
        <v>0</v>
      </c>
    </row>
    <row customHeight="1" ht="15.75">
      <c r="A21" s="502"/>
      <c r="B21" s="502"/>
      <c r="C21" s="457"/>
      <c r="D21" s="467"/>
      <c r="E21" s="415" t="s">
        <v>341</v>
      </c>
      <c r="F21" s="469"/>
      <c r="G21" s="2473"/>
      <c r="H21" s="1533"/>
      <c r="J21" s="455">
        <v>15</v>
      </c>
    </row>
    <row s="501" customFormat="1" customHeight="1" ht="26.25">
      <c r="A22" s="502"/>
      <c r="B22" s="502"/>
      <c r="C22" s="502"/>
      <c r="D22" s="1520" t="s">
        <v>92</v>
      </c>
      <c r="E22" s="474" t="s">
        <v>1867</v>
      </c>
      <c r="F22" s="1526"/>
      <c r="G22" s="474" t="s">
        <v>1868</v>
      </c>
      <c r="H22" s="1532"/>
      <c r="J22" s="501">
        <v>25</v>
      </c>
    </row>
    <row s="501" customFormat="1" customHeight="1" ht="19.95">
      <c r="A23" s="502"/>
      <c r="B23" s="502"/>
      <c r="C23" s="502"/>
      <c r="D23" s="1520" t="s">
        <v>93</v>
      </c>
      <c r="E23" s="1527" t="s">
        <v>1869</v>
      </c>
      <c r="F23" s="1531"/>
      <c r="G23" s="474" t="s">
        <v>1870</v>
      </c>
      <c r="H23" s="1532"/>
      <c r="J23" s="501">
        <v>19</v>
      </c>
    </row>
    <row s="501" customFormat="1" customHeight="1" ht="144" hidden="1">
      <c r="A24" s="502"/>
      <c r="B24" s="502"/>
      <c r="C24" s="502"/>
      <c r="D24" s="1520" t="s">
        <v>112</v>
      </c>
      <c r="E24" s="1897" t="str">
        <f>"Доклад, содержащий результаты обобщения правоприменительной практики, в рамках регионального государственного контроля (надзора) в области регулирования "&amp;IF(TEMPLATE_SPHERE="HEAT","цен (тарифов)","тарифов")&amp;" в сфере "&amp;IF(OR(TEMPLATE_SPHERE="HEAT",TEMPLATE_SPHERE="TKO"),TEMPLATE_SPHERE_RUS,"водоснабжения и водоотведения")&amp;" в случае, если региональный государственный контроль (надзор) в области регулирования "&amp;IF(TEMPLATE_SPHERE="HEAT","цен (тарифов)","тарифов")&amp;" в сфере "&amp;IF(OR(TEMPLATE_SPHERE="HEAT",TEMPLATE_SPHERE="TKO"),TEMPLATE_SPHERE_RUS,"водоснабжения и водоотведения")&amp;" в соответствии с положением, утвержденным высшим исполнительным органом субъекта Российской Федерации, осуществляется "&amp;IF(TEMPLATE_SPHERE="TKO","региональным органом регулирования","исполнительным органом субъекта Российской Федерации в области государственного регулирования "&amp;IF(TEMPLATE_SPHERE="HEAT","цен (тарифов)","тарифов"))</f>
        <v>Доклад, содержащий результаты обобщения правоприменительной практики, в рамках регионального государственного контроля (надзора) в области регулирования цен (тарифов) в сфере теплоснабжения в случае, если региональный государственный контроль (надзор) в области регулирования цен (тарифов) в сфере теплоснабжения в соответствии с положением, утвержденным высшим исполнительным органом субъекта Российской Федерации, осуществляется исполнительным органом субъекта Российской Федерации в области государственного регулирования цен (тарифов)</v>
      </c>
      <c r="F24" s="1898"/>
      <c r="G24" s="1896" t="str">
        <f>IF(TEMPLATE_SPHERE="TKO","Раскрывается региональным органом регулирования. ",IF(TEMPLATE_SPHERE="HEAT","Раскрывается исполнительным органом субъекта Российской Федерации в области государственного регулирования цен (тарифов). ",""))&amp;"Указывается ссылка на документ, предварительно загруженный в хранилище файлов ФГИС ЕИАС."</f>
        <v>Раскрывается исполнительным органом субъекта Российской Федерации в области государственного регулирования цен (тарифов). Указывается ссылка на документ, предварительно загруженный в хранилище файлов ФГИС ЕИАС.</v>
      </c>
      <c r="H24" s="1532"/>
      <c r="J24" s="501">
        <v>0</v>
      </c>
    </row>
    <row customHeight="1" ht="11.25" hidden="1">
      <c r="A25" s="501" t="s">
        <v>82</v>
      </c>
      <c r="B25" s="501">
        <v>0</v>
      </c>
      <c r="C25" s="455">
        <v>3</v>
      </c>
      <c r="D25" s="456">
        <v>6</v>
      </c>
      <c r="E25" s="455">
        <v>52</v>
      </c>
      <c r="F25" s="455">
        <v>48</v>
      </c>
      <c r="G25" s="455">
        <v>93</v>
      </c>
      <c r="H25" s="455">
        <v>8</v>
      </c>
      <c r="I25" s="455">
        <v>64</v>
      </c>
      <c r="J25" s="455">
        <v>11</v>
      </c>
    </row>
  </sheetData>
  <sheetProtection formatColumns="0" formatRows="0" autoFilter="0" sort="0" insertRows="0" insertColumns="1" deleteRows="0" deleteColumns="0"/>
  <mergeCells count="6">
    <mergeCell ref="G19:G21"/>
    <mergeCell ref="D5:F5"/>
    <mergeCell ref="D6:F6"/>
    <mergeCell ref="E8:F8"/>
    <mergeCell ref="D9:F9"/>
    <mergeCell ref="G9:G10"/>
  </mergeCells>
  <dataValidations count="2">
    <dataValidation type="textLength" operator="lessThanOrEqual" allowBlank="1" showInputMessage="1" showErrorMessage="1" errorTitle="Ошибка" error="Допускается ввод не более 900 символов!" sqref="F12 F14:F18 F22:F23">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F24">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1938D9F-734F-E857-CF35-6A5FE0B69083}" mc:Ignorable="x14ac xr xr2 xr3">
  <dimension ref="A1:IU24"/>
  <sheetViews>
    <sheetView showGridLines="0" zoomScale="90" workbookViewId="0">
      <pane xSplit="5" ySplit="8" topLeftCell="F9" activePane="bottomRight" state="frozen"/>
      <selection pane="bottomLeft" activeCell="A9" sqref="A9"/>
      <selection pane="topRight" activeCell="F1" sqref="F1"/>
      <selection pane="bottomRight" activeCell="A1" sqref="A1"/>
    </sheetView>
  </sheetViews>
  <sheetFormatPr defaultColWidth="9.140625" customHeight="1" defaultRowHeight="14.25"/>
  <cols>
    <col min="1" max="1" style="1635" width="9.140625" hidden="1"/>
    <col min="2" max="2" style="1366" width="9.140625" hidden="1"/>
    <col min="3" max="3" style="1635" width="3.7109375" hidden="1" customWidth="1"/>
    <col min="4" max="4" style="1842" width="3.00390625" customWidth="1"/>
    <col min="5" max="5" style="1635" width="6.00390625" customWidth="1"/>
    <col min="6" max="6" style="1635" width="46.00390625" customWidth="1"/>
    <col min="7" max="8" style="1635" width="16.00390625" customWidth="1"/>
    <col min="9" max="9" style="1635" width="35.00390625" customWidth="1"/>
    <col min="10" max="10" style="1635" width="89.00390625" customWidth="1"/>
    <col min="11" max="11" style="1624" width="3.00390625" customWidth="1"/>
    <col min="12" max="14" style="1624" width="8.00390625" customWidth="1"/>
    <col min="15" max="15" style="1624" width="25.00390625" customWidth="1"/>
    <col min="16" max="16" style="1624" width="14.00390625" customWidth="1"/>
    <col min="17" max="20" style="225" width="8.00390625" customWidth="1"/>
    <col min="21" max="254" style="1635" width="8.00390625" customWidth="1"/>
    <col min="255" max="255" style="1635" width="9.140625" hidden="1"/>
  </cols>
  <sheetData>
    <row customHeight="1" ht="22.5" hidden="1">
      <c r="F1" s="1631" t="s">
        <v>1871</v>
      </c>
      <c r="G1" s="1631" t="s">
        <v>48</v>
      </c>
      <c r="H1" s="1631" t="s">
        <v>50</v>
      </c>
      <c r="IU1" s="1155" t="s">
        <v>14</v>
      </c>
    </row>
    <row s="1850" customFormat="1" customHeight="1" ht="22.5" hidden="1">
      <c r="A2" s="831"/>
      <c r="B2" s="1160">
        <v>1</v>
      </c>
      <c r="C2" s="1160"/>
      <c r="D2" s="1928" t="s">
        <v>122</v>
      </c>
      <c r="E2" s="1484"/>
      <c r="F2" s="1491"/>
      <c r="G2" s="1491"/>
      <c r="H2" s="1491"/>
      <c r="I2" s="1984"/>
      <c r="J2" s="1985"/>
      <c r="K2" s="1535"/>
      <c r="L2" s="511"/>
      <c r="M2" s="511"/>
      <c r="N2" s="500" t="str">
        <f t="array" ref="N2:N2">IF(ISERROR(MATCH(MID(O2,1,250),MID(note_ter,1,250),0)),"n","y")</f>
        <v>n</v>
      </c>
      <c r="O2" s="511"/>
      <c r="P2" s="500" t="str">
        <f>G2&amp;"("&amp;J2&amp;")"</f>
        <v>()</v>
      </c>
      <c r="Q2" s="1160"/>
      <c r="R2" s="1160"/>
      <c r="S2" s="420"/>
      <c r="T2" s="1160"/>
      <c r="U2" s="1160"/>
      <c r="V2" s="1160"/>
      <c r="W2" s="422"/>
      <c r="X2" s="422"/>
      <c r="Y2" s="419"/>
      <c r="Z2" s="419"/>
      <c r="AA2" s="419"/>
      <c r="AB2" s="419"/>
      <c r="AC2" s="419"/>
      <c r="AD2" s="419"/>
      <c r="AE2" s="419"/>
      <c r="AF2" s="419"/>
      <c r="AG2" s="419"/>
      <c r="AH2" s="419"/>
      <c r="AI2" s="419"/>
      <c r="AJ2" s="419"/>
      <c r="AK2" s="419"/>
      <c r="AL2" s="419"/>
      <c r="AM2" s="419"/>
      <c r="AN2" s="419"/>
      <c r="AO2" s="419"/>
      <c r="AP2" s="419"/>
      <c r="AQ2" s="419"/>
      <c r="AR2" s="419"/>
      <c r="AS2" s="419"/>
      <c r="AT2" s="419"/>
      <c r="AU2" s="419"/>
      <c r="AV2" s="419"/>
      <c r="AW2" s="419"/>
      <c r="AX2" s="419"/>
      <c r="AY2" s="419"/>
      <c r="AZ2" s="419"/>
      <c r="BA2" s="419"/>
      <c r="BB2" s="419"/>
      <c r="BC2" s="419"/>
      <c r="BD2" s="419"/>
      <c r="BE2" s="419"/>
      <c r="BF2" s="419"/>
      <c r="BG2" s="419"/>
      <c r="BH2" s="419"/>
      <c r="BI2" s="419"/>
      <c r="BJ2" s="419"/>
      <c r="BK2" s="419"/>
      <c r="BL2" s="419"/>
      <c r="BM2" s="419"/>
      <c r="BN2" s="419"/>
      <c r="BO2" s="419"/>
      <c r="BP2" s="419"/>
      <c r="BQ2" s="419"/>
      <c r="BR2" s="419"/>
      <c r="BS2" s="419"/>
      <c r="BT2" s="422"/>
      <c r="BU2" s="422"/>
      <c r="BV2" s="422"/>
      <c r="BW2" s="422"/>
      <c r="BX2" s="422"/>
      <c r="BY2" s="422"/>
      <c r="BZ2" s="422"/>
      <c r="CA2" s="422"/>
      <c r="CB2" s="422"/>
      <c r="CC2" s="422"/>
      <c r="IU2" s="423">
        <v>0</v>
      </c>
    </row>
    <row s="1642" customFormat="1" customHeight="1" ht="4.2">
      <c r="A3" s="496"/>
      <c r="D3" s="494"/>
      <c r="F3" s="247" t="s">
        <v>83</v>
      </c>
      <c r="G3" s="494" t="s">
        <v>84</v>
      </c>
      <c r="H3" s="494"/>
      <c r="I3" s="494"/>
      <c r="J3" s="227" t="s">
        <v>85</v>
      </c>
      <c r="K3" s="247" t="s">
        <v>83</v>
      </c>
      <c r="L3" s="247"/>
      <c r="M3" s="247"/>
      <c r="N3" s="247"/>
      <c r="O3" s="248"/>
      <c r="P3" s="247"/>
      <c r="Q3" s="247"/>
      <c r="R3" s="247"/>
      <c r="S3" s="247"/>
      <c r="T3" s="247"/>
      <c r="U3" s="227"/>
      <c r="V3" s="227"/>
      <c r="W3" s="227"/>
      <c r="X3" s="227"/>
      <c r="Y3" s="227"/>
      <c r="Z3" s="227"/>
      <c r="AA3" s="227"/>
      <c r="AB3" s="227"/>
      <c r="AC3" s="227"/>
      <c r="AD3" s="227"/>
      <c r="AE3" s="227"/>
      <c r="AF3" s="227"/>
      <c r="AG3" s="227"/>
      <c r="AH3" s="227"/>
      <c r="AI3" s="227"/>
      <c r="AJ3" s="227"/>
      <c r="AK3" s="227"/>
      <c r="AL3" s="227"/>
      <c r="AM3" s="227"/>
      <c r="AN3" s="227"/>
      <c r="AO3" s="227"/>
      <c r="AP3" s="227"/>
      <c r="AQ3" s="227"/>
      <c r="AR3" s="227"/>
      <c r="AS3" s="227"/>
      <c r="AT3" s="227"/>
      <c r="AU3" s="227"/>
      <c r="AV3" s="227"/>
      <c r="AW3" s="227"/>
      <c r="AX3" s="227"/>
      <c r="AY3" s="227"/>
      <c r="AZ3" s="227"/>
      <c r="BA3" s="227"/>
      <c r="BB3" s="227"/>
      <c r="BC3" s="227"/>
      <c r="BD3" s="227"/>
      <c r="BE3" s="227"/>
      <c r="BF3" s="227"/>
      <c r="BG3" s="227"/>
      <c r="BH3" s="227"/>
      <c r="BI3" s="227"/>
      <c r="BJ3" s="227"/>
      <c r="BK3" s="227"/>
      <c r="BL3" s="227"/>
      <c r="BM3" s="227"/>
      <c r="BN3" s="227"/>
      <c r="BO3" s="227"/>
      <c r="BP3" s="227"/>
      <c r="BQ3" s="227"/>
      <c r="BR3" s="227"/>
      <c r="BS3" s="227"/>
      <c r="BT3" s="227"/>
      <c r="BU3" s="227"/>
      <c r="BV3" s="227"/>
      <c r="BW3" s="227"/>
      <c r="BX3" s="227"/>
      <c r="BY3" s="227"/>
      <c r="BZ3" s="227"/>
      <c r="CA3" s="227"/>
      <c r="CB3" s="227"/>
      <c r="CC3" s="227"/>
      <c r="CD3" s="227"/>
      <c r="CE3" s="227"/>
      <c r="CF3" s="227"/>
      <c r="CG3" s="227"/>
      <c r="CH3" s="227"/>
      <c r="CI3" s="227"/>
      <c r="CJ3" s="227"/>
      <c r="CK3" s="227"/>
      <c r="CL3" s="227"/>
      <c r="CM3" s="227"/>
      <c r="CN3" s="227"/>
      <c r="CO3" s="227"/>
      <c r="CP3" s="227"/>
      <c r="CQ3" s="227"/>
      <c r="CR3" s="227"/>
      <c r="CS3" s="227"/>
      <c r="CT3" s="227"/>
      <c r="CU3" s="227"/>
      <c r="CV3" s="227"/>
      <c r="CW3" s="227"/>
      <c r="CX3" s="227"/>
      <c r="CY3" s="227"/>
      <c r="CZ3" s="227"/>
      <c r="DA3" s="227"/>
      <c r="DB3" s="227"/>
      <c r="DC3" s="227"/>
      <c r="DD3" s="227"/>
      <c r="DE3" s="227"/>
      <c r="DF3" s="227"/>
      <c r="DG3" s="227"/>
      <c r="DH3" s="227"/>
      <c r="DI3" s="227"/>
      <c r="DJ3" s="227"/>
      <c r="DK3" s="227"/>
      <c r="DL3" s="227"/>
      <c r="DM3" s="227"/>
      <c r="DN3" s="227"/>
      <c r="DO3" s="227"/>
      <c r="DP3" s="227"/>
      <c r="DQ3" s="227"/>
      <c r="DR3" s="227"/>
      <c r="DS3" s="227"/>
      <c r="DT3" s="227"/>
      <c r="DU3" s="227"/>
      <c r="DV3" s="227"/>
      <c r="DW3" s="227"/>
      <c r="DX3" s="227"/>
      <c r="DY3" s="227"/>
      <c r="DZ3" s="227"/>
      <c r="EA3" s="227"/>
      <c r="EB3" s="227"/>
      <c r="EC3" s="227"/>
      <c r="ED3" s="227"/>
      <c r="EE3" s="227"/>
      <c r="EF3" s="227"/>
      <c r="EG3" s="227"/>
      <c r="EH3" s="227"/>
      <c r="EI3" s="227"/>
      <c r="EJ3" s="227"/>
      <c r="EK3" s="227"/>
      <c r="EL3" s="227"/>
      <c r="EM3" s="227"/>
      <c r="EN3" s="227"/>
      <c r="EO3" s="227"/>
      <c r="EP3" s="227"/>
      <c r="EQ3" s="227"/>
      <c r="ER3" s="227"/>
      <c r="ES3" s="227"/>
      <c r="ET3" s="227"/>
      <c r="EU3" s="227"/>
      <c r="EV3" s="227"/>
      <c r="EW3" s="227"/>
      <c r="EX3" s="227"/>
      <c r="EY3" s="227"/>
      <c r="EZ3" s="227"/>
      <c r="FA3" s="227"/>
      <c r="FB3" s="227"/>
      <c r="FC3" s="227"/>
      <c r="FD3" s="227"/>
      <c r="FE3" s="227"/>
      <c r="FF3" s="227"/>
      <c r="FG3" s="227"/>
      <c r="FH3" s="227"/>
      <c r="FI3" s="227"/>
      <c r="FJ3" s="227"/>
      <c r="FK3" s="227"/>
      <c r="FL3" s="227"/>
      <c r="FM3" s="227"/>
      <c r="FN3" s="227"/>
      <c r="FO3" s="227"/>
      <c r="FP3" s="227"/>
      <c r="FQ3" s="227"/>
      <c r="FR3" s="227"/>
      <c r="FS3" s="227"/>
      <c r="FT3" s="227"/>
      <c r="FU3" s="227"/>
      <c r="FV3" s="227"/>
      <c r="FW3" s="227"/>
      <c r="FX3" s="227"/>
      <c r="FY3" s="227"/>
      <c r="FZ3" s="227"/>
      <c r="GA3" s="227"/>
      <c r="GB3" s="227"/>
      <c r="GC3" s="227"/>
      <c r="GD3" s="227"/>
      <c r="GE3" s="227"/>
      <c r="GF3" s="227"/>
      <c r="GG3" s="227"/>
      <c r="GH3" s="227"/>
      <c r="GI3" s="227"/>
      <c r="GJ3" s="227"/>
      <c r="GK3" s="227"/>
      <c r="GL3" s="227"/>
      <c r="GM3" s="227"/>
      <c r="GN3" s="227"/>
      <c r="GO3" s="227"/>
      <c r="GP3" s="227"/>
      <c r="GQ3" s="227"/>
      <c r="GR3" s="227"/>
      <c r="GS3" s="227"/>
      <c r="GT3" s="227"/>
      <c r="GU3" s="227"/>
      <c r="GV3" s="227"/>
      <c r="GW3" s="227"/>
      <c r="GX3" s="227"/>
      <c r="GY3" s="227"/>
      <c r="GZ3" s="227"/>
      <c r="HA3" s="227"/>
      <c r="HB3" s="227"/>
      <c r="HC3" s="227"/>
      <c r="HD3" s="227"/>
      <c r="HE3" s="227"/>
      <c r="HF3" s="227"/>
      <c r="HG3" s="227"/>
      <c r="HH3" s="227"/>
      <c r="HI3" s="227"/>
      <c r="HJ3" s="227"/>
      <c r="HK3" s="227"/>
      <c r="HL3" s="227"/>
      <c r="HM3" s="227"/>
      <c r="HN3" s="227"/>
      <c r="HO3" s="227"/>
      <c r="HP3" s="227"/>
      <c r="HQ3" s="227"/>
      <c r="HR3" s="227"/>
      <c r="HS3" s="227"/>
      <c r="HT3" s="227"/>
      <c r="HU3" s="227"/>
      <c r="HV3" s="227"/>
      <c r="HW3" s="227"/>
      <c r="HX3" s="227"/>
      <c r="HY3" s="227"/>
      <c r="HZ3" s="227"/>
      <c r="IA3" s="227"/>
      <c r="IB3" s="227"/>
      <c r="IC3" s="227"/>
      <c r="ID3" s="227"/>
      <c r="IE3" s="227"/>
      <c r="IF3" s="227"/>
      <c r="IG3" s="227"/>
      <c r="IH3" s="227"/>
      <c r="II3" s="227"/>
      <c r="IJ3" s="227"/>
      <c r="IK3" s="227"/>
      <c r="IL3" s="227"/>
      <c r="IM3" s="227"/>
      <c r="IN3" s="227"/>
      <c r="IO3" s="227"/>
      <c r="IP3" s="227"/>
      <c r="IQ3" s="227"/>
      <c r="IR3" s="227"/>
      <c r="IS3" s="227"/>
      <c r="IT3" s="227"/>
      <c r="IU3" s="511">
        <v>4</v>
      </c>
    </row>
    <row s="1819" customFormat="1" customHeight="1" ht="14.699999999999998">
      <c r="A4" s="1155"/>
      <c r="B4" s="1160"/>
      <c r="C4" s="1155"/>
      <c r="D4" s="1495"/>
      <c r="E4" s="509"/>
      <c r="F4" s="1642"/>
      <c r="G4" s="509"/>
      <c r="H4" s="509"/>
      <c r="I4" s="509"/>
      <c r="J4" s="166"/>
      <c r="K4" s="247"/>
      <c r="L4" s="500"/>
      <c r="M4" s="500"/>
      <c r="N4" s="500"/>
      <c r="O4" s="226"/>
      <c r="P4" s="500"/>
      <c r="Q4" s="225"/>
      <c r="R4" s="225"/>
      <c r="S4" s="225"/>
      <c r="T4" s="225"/>
      <c r="IU4" s="507">
        <v>14</v>
      </c>
    </row>
    <row s="1819" customFormat="1" customHeight="1" ht="27.299999999999997">
      <c r="A5" s="1155"/>
      <c r="B5" s="1160"/>
      <c r="C5" s="1155"/>
      <c r="D5" s="1495"/>
      <c r="E5" s="2100" t="str">
        <f>"Форма "&amp;IF(TEMPLATE_SPHERE="HEAT","3","2")&amp;". Перечень "&amp;IF(TEMPLATE_SPHERE="HEAT","регулируемых организаций (единых теплоснабжающих организаций в ценовых зонах теплоснабжения, теплоснабжающих организаций в ценовых зонах теплоснабжения и теплосетевых организаций в ценовых зонах теплоснабжения)","организаций, в отношении которых "&amp;IF(TEMPLATE_SPHERE="TKO","осуществляется регулирование предельных тарифов, а также перечень операторов по обращению с твердыми коммунальными отходами, осуществляющих деятельность по транспортированию твердых коммунальных отходов","орган регулирования тарифов осуществляет регулирование тарифов в сфере водоснабжения и водоотведения"))</f>
        <v>Форма 3. Перечень регулируемых организаций (единых теплоснабжающих организаций в ценовых зонах теплоснабжения, теплоснабжающих организаций в ценовых зонах теплоснабжения и теплосетевых организаций в ценовых зонах теплоснабжения)</v>
      </c>
      <c r="F5" s="2100"/>
      <c r="G5" s="2100"/>
      <c r="H5" s="2100"/>
      <c r="I5" s="2100"/>
      <c r="J5" s="2100"/>
      <c r="K5" s="247"/>
      <c r="L5" s="500"/>
      <c r="M5" s="500"/>
      <c r="N5" s="500"/>
      <c r="O5" s="226"/>
      <c r="P5" s="500"/>
      <c r="Q5" s="225"/>
      <c r="R5" s="225"/>
      <c r="S5" s="225"/>
      <c r="T5" s="225"/>
      <c r="IU5" s="507">
        <v>26</v>
      </c>
    </row>
    <row s="1819" customFormat="1" customHeight="1" ht="14.699999999999998">
      <c r="A6" s="1155"/>
      <c r="B6" s="1160"/>
      <c r="C6" s="1155"/>
      <c r="D6" s="1495"/>
      <c r="E6" s="509"/>
      <c r="F6" s="167"/>
      <c r="G6" s="167"/>
      <c r="H6" s="167"/>
      <c r="I6" s="167"/>
      <c r="J6" s="168"/>
      <c r="K6" s="500"/>
      <c r="L6" s="500"/>
      <c r="M6" s="500"/>
      <c r="N6" s="500"/>
      <c r="O6" s="226"/>
      <c r="P6" s="500"/>
      <c r="Q6" s="225"/>
      <c r="R6" s="225"/>
      <c r="S6" s="225"/>
      <c r="T6" s="225"/>
      <c r="IU6" s="507">
        <v>14</v>
      </c>
    </row>
    <row s="1819" customFormat="1" customHeight="1" ht="14.699999999999998">
      <c r="A7" s="1155"/>
      <c r="B7" s="1160"/>
      <c r="C7" s="1155"/>
      <c r="D7" s="1495"/>
      <c r="E7" s="2101" t="s">
        <v>302</v>
      </c>
      <c r="F7" s="2102"/>
      <c r="G7" s="2102"/>
      <c r="H7" s="2102"/>
      <c r="I7" s="2102"/>
      <c r="J7" s="2474" t="s">
        <v>303</v>
      </c>
      <c r="K7" s="500"/>
      <c r="L7" s="500"/>
      <c r="M7" s="500"/>
      <c r="N7" s="500"/>
      <c r="O7" s="226"/>
      <c r="P7" s="500"/>
      <c r="Q7" s="225"/>
      <c r="R7" s="225"/>
      <c r="S7" s="225"/>
      <c r="T7" s="225"/>
      <c r="IU7" s="507">
        <v>14</v>
      </c>
    </row>
    <row s="1819" customFormat="1" customHeight="1" ht="21">
      <c r="A8" s="1155"/>
      <c r="B8" s="1160"/>
      <c r="C8" s="1155"/>
      <c r="D8" s="1495"/>
      <c r="E8" s="1548" t="s">
        <v>88</v>
      </c>
      <c r="F8" s="1540" t="s">
        <v>1871</v>
      </c>
      <c r="G8" s="1540" t="s">
        <v>48</v>
      </c>
      <c r="H8" s="1540" t="s">
        <v>50</v>
      </c>
      <c r="I8" s="1540" t="s">
        <v>1872</v>
      </c>
      <c r="J8" s="2475"/>
      <c r="K8" s="500"/>
      <c r="L8" s="500"/>
      <c r="M8" s="500"/>
      <c r="N8" s="500"/>
      <c r="O8" s="226"/>
      <c r="P8" s="500"/>
      <c r="Q8" s="225"/>
      <c r="R8" s="225"/>
      <c r="S8" s="225"/>
      <c r="T8" s="225"/>
      <c r="IU8" s="507">
        <v>20</v>
      </c>
    </row>
    <row s="1850" customFormat="1" customHeight="1" ht="23.25">
      <c r="A9" s="1631"/>
      <c r="B9" s="1160">
        <v>1</v>
      </c>
      <c r="C9" s="1160"/>
      <c r="D9" s="801"/>
      <c r="E9" s="1484">
        <v>1</v>
      </c>
      <c r="F9" s="1547"/>
      <c r="G9" s="1491"/>
      <c r="H9" s="1491"/>
      <c r="I9" s="1538"/>
      <c r="J9" s="2169" t="str">
        <f>IF(TEMPLATE_SPHERE="TKO","Региональным органом регулирования (органом местного самоуправления) раскрывается информация по указанной форме в отношении"&amp;" операторов по обращению с твердыми коммунальными отходами, осуществляющих деятельность по транспортированию твердых коммунальных отходов, "&amp;"сведения о которых содержатся в договорах на транспортирование твердых коммунальных отходов, заключенных региональным оператором с таким оператором,"&amp;" и о предложении об установлении единого тарифа на услугу регионального оператора.","")&amp;"
Значение в поле «Наименование организации» содержит наименование юридического лица согласно уставу организации.
Значение в поле «ИНН» содержит идентификационный номер налогоплательщика."&amp;"
Значение в поле «КПП» содержит код постановки на учёт.
Значение в поле «ОГРН (ОГРНИП)» содержит основной государственный регистрационный номер юридического лица (индивидуального предпринимателя)."</f>
        <v>
Значение в поле «Наименование организации» содержит наименование юридического лица согласно уставу организации.
Значение в поле «ИНН» содержит идентификационный номер налогоплательщика.
Значение в поле «КПП» содержит код постановки на учёт.
Значение в поле «ОГРН (ОГРНИП)» содержит основной государственный регистрационный номер юридического лица (индивидуального предпринимателя).</v>
      </c>
      <c r="K9" s="1535"/>
      <c r="L9" s="511"/>
      <c r="M9" s="511"/>
      <c r="N9" s="500" t="str">
        <f t="array" ref="N9:N9">IF(ISERROR(MATCH(MID(O9,1,250),MID(note_ter,1,250),0)),"n","y")</f>
        <v>n</v>
      </c>
      <c r="O9" s="511"/>
      <c r="P9" s="500" t="str">
        <f>G9&amp;"("&amp;J9&amp;")"</f>
        <v>(
Значение в поле «Наименование организации» содержит наименование юридического лица согласно уставу организации.
Значение в поле «ИНН» содержит идентификационный номер налогоплательщика.
Значение в поле «КПП» содержит код постановки на учёт.
Значение в поле «ОГРН (ОГРНИП)» содержит основной государственный регистрационный номер юридического лица (индивидуального предпринимателя).)</v>
      </c>
      <c r="Q9" s="1160"/>
      <c r="R9" s="1160"/>
      <c r="S9" s="420"/>
      <c r="T9" s="1160"/>
      <c r="U9" s="1160"/>
      <c r="V9" s="1160"/>
      <c r="W9" s="422"/>
      <c r="X9" s="422"/>
      <c r="Y9" s="419"/>
      <c r="Z9" s="419"/>
      <c r="AA9" s="419"/>
      <c r="AB9" s="419"/>
      <c r="AC9" s="419"/>
      <c r="AD9" s="419"/>
      <c r="AE9" s="419"/>
      <c r="AF9" s="419"/>
      <c r="AG9" s="419"/>
      <c r="AH9" s="419"/>
      <c r="AI9" s="419"/>
      <c r="AJ9" s="419"/>
      <c r="AK9" s="419"/>
      <c r="AL9" s="419"/>
      <c r="AM9" s="419"/>
      <c r="AN9" s="419"/>
      <c r="AO9" s="419"/>
      <c r="AP9" s="419"/>
      <c r="AQ9" s="419"/>
      <c r="AR9" s="419"/>
      <c r="AS9" s="419"/>
      <c r="AT9" s="419"/>
      <c r="AU9" s="419"/>
      <c r="AV9" s="419"/>
      <c r="AW9" s="419"/>
      <c r="AX9" s="419"/>
      <c r="AY9" s="419"/>
      <c r="AZ9" s="419"/>
      <c r="BA9" s="419"/>
      <c r="BB9" s="419"/>
      <c r="BC9" s="419"/>
      <c r="BD9" s="419"/>
      <c r="BE9" s="419"/>
      <c r="BF9" s="419"/>
      <c r="BG9" s="419"/>
      <c r="BH9" s="419"/>
      <c r="BI9" s="419"/>
      <c r="BJ9" s="419"/>
      <c r="BK9" s="419"/>
      <c r="BL9" s="419"/>
      <c r="BM9" s="419"/>
      <c r="BN9" s="419"/>
      <c r="BO9" s="419"/>
      <c r="BP9" s="419"/>
      <c r="BQ9" s="419"/>
      <c r="BR9" s="419"/>
      <c r="BS9" s="419"/>
      <c r="BT9" s="422"/>
      <c r="BU9" s="422"/>
      <c r="BV9" s="422"/>
      <c r="BW9" s="422"/>
      <c r="BX9" s="422"/>
      <c r="BY9" s="422"/>
      <c r="BZ9" s="422"/>
      <c r="CA9" s="422"/>
      <c r="CB9" s="422"/>
      <c r="CC9" s="422"/>
      <c r="IU9" s="423">
        <v>22</v>
      </c>
    </row>
    <row s="1850" customFormat="1" customHeight="1" ht="15.75">
      <c r="A10" s="1631"/>
      <c r="B10" s="1160"/>
      <c r="C10" s="412"/>
      <c r="D10" s="801"/>
      <c r="E10" s="1541"/>
      <c r="F10" s="1500" t="s">
        <v>1873</v>
      </c>
      <c r="G10" s="1542"/>
      <c r="H10" s="1542"/>
      <c r="I10" s="1899"/>
      <c r="J10" s="2171"/>
      <c r="K10" s="1536"/>
      <c r="L10" s="511"/>
      <c r="M10" s="511"/>
      <c r="N10" s="511"/>
      <c r="O10" s="500"/>
      <c r="P10" s="511"/>
      <c r="Q10" s="1160"/>
      <c r="R10" s="1160"/>
      <c r="S10" s="420"/>
      <c r="T10" s="1160"/>
      <c r="U10" s="1160"/>
      <c r="V10" s="1160"/>
      <c r="W10" s="422"/>
      <c r="X10" s="422"/>
      <c r="Y10" s="419"/>
      <c r="Z10" s="419"/>
      <c r="AA10" s="419"/>
      <c r="AB10" s="419"/>
      <c r="AC10" s="419"/>
      <c r="AD10" s="419"/>
      <c r="AE10" s="419"/>
      <c r="AF10" s="419"/>
      <c r="AG10" s="419"/>
      <c r="AH10" s="419"/>
      <c r="AI10" s="419"/>
      <c r="AJ10" s="419"/>
      <c r="AK10" s="419"/>
      <c r="AL10" s="419"/>
      <c r="AM10" s="419"/>
      <c r="AN10" s="419"/>
      <c r="AO10" s="419"/>
      <c r="AP10" s="419"/>
      <c r="AQ10" s="419"/>
      <c r="AR10" s="419"/>
      <c r="AS10" s="419"/>
      <c r="AT10" s="419"/>
      <c r="AU10" s="419"/>
      <c r="AV10" s="419"/>
      <c r="AW10" s="419"/>
      <c r="AX10" s="419"/>
      <c r="AY10" s="419"/>
      <c r="AZ10" s="419"/>
      <c r="BA10" s="419"/>
      <c r="BB10" s="419"/>
      <c r="BC10" s="419"/>
      <c r="BD10" s="419"/>
      <c r="BE10" s="419"/>
      <c r="BF10" s="419"/>
      <c r="BG10" s="419"/>
      <c r="BH10" s="419"/>
      <c r="BI10" s="419"/>
      <c r="BJ10" s="419"/>
      <c r="BK10" s="419"/>
      <c r="BL10" s="419"/>
      <c r="BM10" s="419"/>
      <c r="BN10" s="419"/>
      <c r="BO10" s="419"/>
      <c r="BP10" s="419"/>
      <c r="BQ10" s="419"/>
      <c r="BR10" s="419"/>
      <c r="BS10" s="419"/>
      <c r="BT10" s="422"/>
      <c r="BU10" s="422"/>
      <c r="BV10" s="422"/>
      <c r="BW10" s="422"/>
      <c r="BX10" s="422"/>
      <c r="BY10" s="422"/>
      <c r="BZ10" s="422"/>
      <c r="CA10" s="422"/>
      <c r="CB10" s="422"/>
      <c r="CC10" s="422"/>
      <c r="IU10" s="423">
        <v>15</v>
      </c>
    </row>
    <row s="1819" customFormat="1" customHeight="1" ht="22.049999999999997">
      <c r="A11" s="1155"/>
      <c r="B11" s="1160"/>
      <c r="C11" s="1155"/>
      <c r="D11" s="451"/>
      <c r="E11" s="180"/>
      <c r="F11" s="180"/>
      <c r="G11" s="180"/>
      <c r="H11" s="180"/>
      <c r="I11" s="180"/>
      <c r="J11" s="180"/>
      <c r="K11" s="500"/>
      <c r="L11" s="500"/>
      <c r="M11" s="500"/>
      <c r="N11" s="500"/>
      <c r="O11" s="226"/>
      <c r="P11" s="500"/>
      <c r="Q11" s="225"/>
      <c r="R11" s="225"/>
      <c r="S11" s="225"/>
      <c r="T11" s="225"/>
      <c r="IU11" s="507">
        <v>21</v>
      </c>
    </row>
    <row s="1819" customFormat="1" customHeight="1" ht="14.699999999999998">
      <c r="A12" s="1155"/>
      <c r="B12" s="1160"/>
      <c r="C12" s="1155"/>
      <c r="D12" s="451"/>
      <c r="E12" s="1155"/>
      <c r="F12" s="1155"/>
      <c r="G12" s="1155"/>
      <c r="H12" s="1155"/>
      <c r="I12" s="1155"/>
      <c r="J12" s="1155"/>
      <c r="K12" s="500"/>
      <c r="L12" s="500"/>
      <c r="M12" s="500"/>
      <c r="N12" s="500"/>
      <c r="O12" s="226"/>
      <c r="P12" s="500"/>
      <c r="Q12" s="225"/>
      <c r="R12" s="225"/>
      <c r="S12" s="225"/>
      <c r="T12" s="225"/>
      <c r="IU12" s="507">
        <v>14</v>
      </c>
    </row>
    <row s="1819" customFormat="1" customHeight="1" ht="1.05">
      <c r="A13" s="1155"/>
      <c r="B13" s="1160"/>
      <c r="C13" s="1155"/>
      <c r="D13" s="451"/>
      <c r="E13" s="1155"/>
      <c r="F13" s="1155"/>
      <c r="G13" s="1155"/>
      <c r="H13" s="1155"/>
      <c r="I13" s="1155"/>
      <c r="J13" s="1155"/>
      <c r="K13" s="500"/>
      <c r="L13" s="500"/>
      <c r="M13" s="500"/>
      <c r="N13" s="500"/>
      <c r="O13" s="226"/>
      <c r="P13" s="500"/>
      <c r="Q13" s="225"/>
      <c r="R13" s="225"/>
      <c r="S13" s="225"/>
      <c r="T13" s="225"/>
      <c r="IU13" s="507">
        <v>1</v>
      </c>
    </row>
    <row s="1064" customFormat="1" customHeight="1" ht="10.5">
      <c r="B14" s="834"/>
      <c r="D14" s="182"/>
      <c r="K14" s="500"/>
      <c r="L14" s="500"/>
      <c r="M14" s="500"/>
      <c r="N14" s="500"/>
      <c r="O14" s="226"/>
      <c r="P14" s="500"/>
      <c r="Q14" s="225"/>
      <c r="R14" s="225"/>
      <c r="S14" s="225"/>
      <c r="T14" s="225"/>
      <c r="IU14" s="181">
        <v>10</v>
      </c>
    </row>
    <row s="1064" customFormat="1" customHeight="1" ht="10.5">
      <c r="B15" s="834"/>
      <c r="D15" s="182"/>
      <c r="K15" s="500"/>
      <c r="L15" s="500"/>
      <c r="M15" s="500"/>
      <c r="N15" s="500"/>
      <c r="O15" s="226"/>
      <c r="P15" s="500"/>
      <c r="Q15" s="225"/>
      <c r="R15" s="225"/>
      <c r="S15" s="225"/>
      <c r="T15" s="225"/>
      <c r="IU15" s="181">
        <v>10</v>
      </c>
    </row>
    <row customHeight="1" ht="14.699999999999998">
      <c r="IU16" s="1155">
        <v>14</v>
      </c>
    </row>
    <row customHeight="1" ht="14.699999999999998">
      <c r="IU17" s="1155">
        <v>14</v>
      </c>
    </row>
    <row customHeight="1" ht="14.699999999999998">
      <c r="IU18" s="1155">
        <v>14</v>
      </c>
    </row>
    <row customHeight="1" ht="14.699999999999998">
      <c r="G19" s="373"/>
      <c r="H19" s="373"/>
      <c r="I19" s="373"/>
      <c r="IU19" s="1155">
        <v>14</v>
      </c>
    </row>
    <row customHeight="1" ht="14.699999999999998">
      <c r="IU20" s="1155">
        <v>14</v>
      </c>
    </row>
    <row customHeight="1" ht="14.699999999999998">
      <c r="IU21" s="1155">
        <v>14</v>
      </c>
    </row>
    <row customHeight="1" ht="14.699999999999998">
      <c r="IU22" s="1155">
        <v>14</v>
      </c>
    </row>
    <row customHeight="1" ht="14.699999999999998">
      <c r="K23" s="1155"/>
      <c r="L23" s="1155"/>
      <c r="M23" s="1155"/>
      <c r="IU23" s="1155">
        <v>14</v>
      </c>
    </row>
    <row customHeight="1" ht="22.5" hidden="1">
      <c r="A24" s="1155" t="s">
        <v>82</v>
      </c>
      <c r="B24" s="1160">
        <v>0</v>
      </c>
      <c r="C24" s="1155">
        <v>0</v>
      </c>
      <c r="D24" s="451">
        <v>3</v>
      </c>
      <c r="E24" s="1155">
        <v>6</v>
      </c>
      <c r="F24" s="1155">
        <v>46</v>
      </c>
      <c r="G24" s="1155">
        <v>16</v>
      </c>
      <c r="H24" s="1155">
        <v>16</v>
      </c>
      <c r="I24" s="1155">
        <v>35</v>
      </c>
      <c r="J24" s="1155">
        <v>89</v>
      </c>
      <c r="K24" s="500">
        <v>3</v>
      </c>
      <c r="L24" s="500">
        <v>8</v>
      </c>
      <c r="M24" s="500">
        <v>8</v>
      </c>
      <c r="N24" s="500">
        <v>8</v>
      </c>
      <c r="O24" s="226">
        <v>25</v>
      </c>
      <c r="P24" s="500">
        <v>14</v>
      </c>
      <c r="Q24" s="225">
        <v>8</v>
      </c>
      <c r="R24" s="225">
        <v>8</v>
      </c>
      <c r="S24" s="225">
        <v>8</v>
      </c>
      <c r="T24" s="225">
        <v>8</v>
      </c>
      <c r="U24" s="1155">
        <v>8</v>
      </c>
      <c r="V24" s="1155">
        <v>8</v>
      </c>
      <c r="W24" s="1155">
        <v>8</v>
      </c>
      <c r="X24" s="1155">
        <v>8</v>
      </c>
      <c r="Y24" s="1155">
        <v>8</v>
      </c>
      <c r="Z24" s="1155">
        <v>8</v>
      </c>
      <c r="AA24" s="1155">
        <v>8</v>
      </c>
      <c r="AB24" s="1155">
        <v>8</v>
      </c>
      <c r="AC24" s="1155">
        <v>8</v>
      </c>
      <c r="AD24" s="1155">
        <v>8</v>
      </c>
      <c r="AE24" s="1155">
        <v>8</v>
      </c>
      <c r="AF24" s="1155">
        <v>8</v>
      </c>
      <c r="AG24" s="1155">
        <v>8</v>
      </c>
      <c r="AH24" s="1155">
        <v>8</v>
      </c>
      <c r="AI24" s="1155">
        <v>8</v>
      </c>
      <c r="AJ24" s="1155">
        <v>8</v>
      </c>
      <c r="AK24" s="1155">
        <v>8</v>
      </c>
      <c r="AL24" s="1155">
        <v>8</v>
      </c>
      <c r="AM24" s="1155">
        <v>8</v>
      </c>
      <c r="AN24" s="1155">
        <v>8</v>
      </c>
      <c r="AO24" s="1155">
        <v>8</v>
      </c>
      <c r="AP24" s="1155">
        <v>8</v>
      </c>
      <c r="AQ24" s="1155">
        <v>8</v>
      </c>
      <c r="AR24" s="1155">
        <v>8</v>
      </c>
      <c r="AS24" s="1155">
        <v>8</v>
      </c>
      <c r="AT24" s="1155">
        <v>8</v>
      </c>
      <c r="AU24" s="1155">
        <v>8</v>
      </c>
      <c r="AV24" s="1155">
        <v>8</v>
      </c>
      <c r="AW24" s="1155">
        <v>8</v>
      </c>
      <c r="AX24" s="1155">
        <v>8</v>
      </c>
      <c r="AY24" s="1155">
        <v>8</v>
      </c>
      <c r="AZ24" s="1155">
        <v>8</v>
      </c>
      <c r="BA24" s="1155">
        <v>8</v>
      </c>
      <c r="BB24" s="1155">
        <v>8</v>
      </c>
      <c r="BC24" s="1155">
        <v>8</v>
      </c>
      <c r="BD24" s="1155">
        <v>8</v>
      </c>
      <c r="BE24" s="1155">
        <v>8</v>
      </c>
      <c r="BF24" s="1155">
        <v>8</v>
      </c>
      <c r="BG24" s="1155">
        <v>8</v>
      </c>
      <c r="BH24" s="1155">
        <v>8</v>
      </c>
      <c r="BI24" s="1155">
        <v>8</v>
      </c>
      <c r="BJ24" s="1155">
        <v>8</v>
      </c>
      <c r="BK24" s="1155">
        <v>8</v>
      </c>
      <c r="BL24" s="1155">
        <v>8</v>
      </c>
      <c r="BM24" s="1155">
        <v>8</v>
      </c>
      <c r="BN24" s="1155">
        <v>8</v>
      </c>
      <c r="BO24" s="1155">
        <v>8</v>
      </c>
      <c r="BP24" s="1155">
        <v>8</v>
      </c>
      <c r="BQ24" s="1155">
        <v>8</v>
      </c>
      <c r="BR24" s="1155">
        <v>8</v>
      </c>
      <c r="BS24" s="1155">
        <v>8</v>
      </c>
      <c r="BT24" s="1155">
        <v>8</v>
      </c>
      <c r="BU24" s="1155">
        <v>8</v>
      </c>
      <c r="BV24" s="1155">
        <v>8</v>
      </c>
      <c r="BW24" s="1155">
        <v>8</v>
      </c>
      <c r="BX24" s="1155">
        <v>8</v>
      </c>
      <c r="BY24" s="1155">
        <v>8</v>
      </c>
      <c r="BZ24" s="1155">
        <v>8</v>
      </c>
      <c r="CA24" s="1155">
        <v>8</v>
      </c>
      <c r="CB24" s="1155">
        <v>8</v>
      </c>
      <c r="CC24" s="1155">
        <v>8</v>
      </c>
      <c r="CD24" s="1155">
        <v>8</v>
      </c>
      <c r="CE24" s="1155">
        <v>8</v>
      </c>
      <c r="CF24" s="1155">
        <v>8</v>
      </c>
      <c r="CG24" s="1155">
        <v>8</v>
      </c>
      <c r="CH24" s="1155">
        <v>8</v>
      </c>
      <c r="CI24" s="1155">
        <v>8</v>
      </c>
      <c r="CJ24" s="1155">
        <v>8</v>
      </c>
      <c r="CK24" s="1155">
        <v>8</v>
      </c>
      <c r="CL24" s="1155">
        <v>8</v>
      </c>
      <c r="CM24" s="1155">
        <v>8</v>
      </c>
      <c r="CN24" s="1155">
        <v>8</v>
      </c>
      <c r="CO24" s="1155">
        <v>8</v>
      </c>
      <c r="CP24" s="1155">
        <v>8</v>
      </c>
      <c r="CQ24" s="1155">
        <v>8</v>
      </c>
      <c r="CR24" s="1155">
        <v>8</v>
      </c>
      <c r="CS24" s="1155">
        <v>8</v>
      </c>
      <c r="CT24" s="1155">
        <v>8</v>
      </c>
      <c r="CU24" s="1155">
        <v>8</v>
      </c>
      <c r="CV24" s="1155">
        <v>8</v>
      </c>
      <c r="CW24" s="1155">
        <v>8</v>
      </c>
      <c r="CX24" s="1155">
        <v>8</v>
      </c>
      <c r="CY24" s="1155">
        <v>8</v>
      </c>
      <c r="CZ24" s="1155">
        <v>8</v>
      </c>
      <c r="DA24" s="1155">
        <v>8</v>
      </c>
      <c r="DB24" s="1155">
        <v>8</v>
      </c>
      <c r="DC24" s="1155">
        <v>8</v>
      </c>
      <c r="DD24" s="1155">
        <v>8</v>
      </c>
      <c r="DE24" s="1155">
        <v>8</v>
      </c>
      <c r="DF24" s="1155">
        <v>8</v>
      </c>
      <c r="DG24" s="1155">
        <v>8</v>
      </c>
      <c r="DH24" s="1155">
        <v>8</v>
      </c>
      <c r="DI24" s="1155">
        <v>8</v>
      </c>
      <c r="DJ24" s="1155">
        <v>8</v>
      </c>
      <c r="DK24" s="1155">
        <v>8</v>
      </c>
      <c r="DL24" s="1155">
        <v>8</v>
      </c>
      <c r="DM24" s="1155">
        <v>8</v>
      </c>
      <c r="DN24" s="1155">
        <v>8</v>
      </c>
      <c r="DO24" s="1155">
        <v>8</v>
      </c>
      <c r="DP24" s="1155">
        <v>8</v>
      </c>
      <c r="DQ24" s="1155">
        <v>8</v>
      </c>
      <c r="DR24" s="1155">
        <v>8</v>
      </c>
      <c r="DS24" s="1155">
        <v>8</v>
      </c>
      <c r="DT24" s="1155">
        <v>8</v>
      </c>
      <c r="DU24" s="1155">
        <v>8</v>
      </c>
      <c r="DV24" s="1155">
        <v>8</v>
      </c>
      <c r="DW24" s="1155">
        <v>8</v>
      </c>
      <c r="DX24" s="1155">
        <v>8</v>
      </c>
      <c r="DY24" s="1155">
        <v>8</v>
      </c>
      <c r="DZ24" s="1155">
        <v>8</v>
      </c>
      <c r="EA24" s="1155">
        <v>8</v>
      </c>
      <c r="EB24" s="1155">
        <v>8</v>
      </c>
      <c r="EC24" s="1155">
        <v>8</v>
      </c>
      <c r="ED24" s="1155">
        <v>8</v>
      </c>
      <c r="EE24" s="1155">
        <v>8</v>
      </c>
      <c r="EF24" s="1155">
        <v>8</v>
      </c>
      <c r="EG24" s="1155">
        <v>8</v>
      </c>
      <c r="EH24" s="1155">
        <v>8</v>
      </c>
      <c r="EI24" s="1155">
        <v>8</v>
      </c>
      <c r="EJ24" s="1155">
        <v>8</v>
      </c>
      <c r="EK24" s="1155">
        <v>8</v>
      </c>
      <c r="EL24" s="1155">
        <v>8</v>
      </c>
      <c r="EM24" s="1155">
        <v>8</v>
      </c>
      <c r="EN24" s="1155">
        <v>8</v>
      </c>
      <c r="EO24" s="1155">
        <v>8</v>
      </c>
      <c r="EP24" s="1155">
        <v>8</v>
      </c>
      <c r="EQ24" s="1155">
        <v>8</v>
      </c>
      <c r="ER24" s="1155">
        <v>8</v>
      </c>
      <c r="ES24" s="1155">
        <v>8</v>
      </c>
      <c r="ET24" s="1155">
        <v>8</v>
      </c>
      <c r="EU24" s="1155">
        <v>8</v>
      </c>
      <c r="EV24" s="1155">
        <v>8</v>
      </c>
      <c r="EW24" s="1155">
        <v>8</v>
      </c>
      <c r="EX24" s="1155">
        <v>8</v>
      </c>
      <c r="EY24" s="1155">
        <v>8</v>
      </c>
      <c r="EZ24" s="1155">
        <v>8</v>
      </c>
      <c r="FA24" s="1155">
        <v>8</v>
      </c>
      <c r="FB24" s="1155">
        <v>8</v>
      </c>
      <c r="FC24" s="1155">
        <v>8</v>
      </c>
      <c r="FD24" s="1155">
        <v>8</v>
      </c>
      <c r="FE24" s="1155">
        <v>8</v>
      </c>
      <c r="FF24" s="1155">
        <v>8</v>
      </c>
      <c r="FG24" s="1155">
        <v>8</v>
      </c>
      <c r="FH24" s="1155">
        <v>8</v>
      </c>
      <c r="FI24" s="1155">
        <v>8</v>
      </c>
      <c r="FJ24" s="1155">
        <v>8</v>
      </c>
      <c r="FK24" s="1155">
        <v>8</v>
      </c>
      <c r="FL24" s="1155">
        <v>8</v>
      </c>
      <c r="FM24" s="1155">
        <v>8</v>
      </c>
      <c r="FN24" s="1155">
        <v>8</v>
      </c>
      <c r="FO24" s="1155">
        <v>8</v>
      </c>
      <c r="FP24" s="1155">
        <v>8</v>
      </c>
      <c r="FQ24" s="1155">
        <v>8</v>
      </c>
      <c r="FR24" s="1155">
        <v>8</v>
      </c>
      <c r="FS24" s="1155">
        <v>8</v>
      </c>
      <c r="FT24" s="1155">
        <v>8</v>
      </c>
      <c r="FU24" s="1155">
        <v>8</v>
      </c>
      <c r="FV24" s="1155">
        <v>8</v>
      </c>
      <c r="FW24" s="1155">
        <v>8</v>
      </c>
      <c r="FX24" s="1155">
        <v>8</v>
      </c>
      <c r="FY24" s="1155">
        <v>8</v>
      </c>
      <c r="FZ24" s="1155">
        <v>8</v>
      </c>
      <c r="GA24" s="1155">
        <v>8</v>
      </c>
      <c r="GB24" s="1155">
        <v>8</v>
      </c>
      <c r="GC24" s="1155">
        <v>8</v>
      </c>
      <c r="GD24" s="1155">
        <v>8</v>
      </c>
      <c r="GE24" s="1155">
        <v>8</v>
      </c>
      <c r="GF24" s="1155">
        <v>8</v>
      </c>
      <c r="GG24" s="1155">
        <v>8</v>
      </c>
      <c r="GH24" s="1155">
        <v>8</v>
      </c>
      <c r="GI24" s="1155">
        <v>8</v>
      </c>
      <c r="GJ24" s="1155">
        <v>8</v>
      </c>
      <c r="GK24" s="1155">
        <v>8</v>
      </c>
      <c r="GL24" s="1155">
        <v>8</v>
      </c>
      <c r="GM24" s="1155">
        <v>8</v>
      </c>
      <c r="GN24" s="1155">
        <v>8</v>
      </c>
      <c r="GO24" s="1155">
        <v>8</v>
      </c>
      <c r="GP24" s="1155">
        <v>8</v>
      </c>
      <c r="GQ24" s="1155">
        <v>8</v>
      </c>
      <c r="GR24" s="1155">
        <v>8</v>
      </c>
      <c r="GS24" s="1155">
        <v>8</v>
      </c>
      <c r="GT24" s="1155">
        <v>8</v>
      </c>
      <c r="GU24" s="1155">
        <v>8</v>
      </c>
      <c r="GV24" s="1155">
        <v>8</v>
      </c>
      <c r="GW24" s="1155">
        <v>8</v>
      </c>
      <c r="GX24" s="1155">
        <v>8</v>
      </c>
      <c r="GY24" s="1155">
        <v>8</v>
      </c>
      <c r="GZ24" s="1155">
        <v>8</v>
      </c>
      <c r="HA24" s="1155">
        <v>8</v>
      </c>
      <c r="HB24" s="1155">
        <v>8</v>
      </c>
      <c r="HC24" s="1155">
        <v>8</v>
      </c>
      <c r="HD24" s="1155">
        <v>8</v>
      </c>
      <c r="HE24" s="1155">
        <v>8</v>
      </c>
      <c r="HF24" s="1155">
        <v>8</v>
      </c>
      <c r="HG24" s="1155">
        <v>8</v>
      </c>
      <c r="HH24" s="1155">
        <v>8</v>
      </c>
      <c r="HI24" s="1155">
        <v>8</v>
      </c>
      <c r="HJ24" s="1155">
        <v>8</v>
      </c>
      <c r="HK24" s="1155">
        <v>8</v>
      </c>
      <c r="HL24" s="1155">
        <v>8</v>
      </c>
      <c r="HM24" s="1155">
        <v>8</v>
      </c>
      <c r="HN24" s="1155">
        <v>8</v>
      </c>
      <c r="HO24" s="1155">
        <v>8</v>
      </c>
      <c r="HP24" s="1155">
        <v>8</v>
      </c>
      <c r="HQ24" s="1155">
        <v>8</v>
      </c>
      <c r="HR24" s="1155">
        <v>8</v>
      </c>
      <c r="HS24" s="1155">
        <v>8</v>
      </c>
      <c r="HT24" s="1155">
        <v>8</v>
      </c>
      <c r="HU24" s="1155">
        <v>8</v>
      </c>
      <c r="HV24" s="1155">
        <v>8</v>
      </c>
      <c r="HW24" s="1155">
        <v>8</v>
      </c>
      <c r="HX24" s="1155">
        <v>8</v>
      </c>
      <c r="HY24" s="1155">
        <v>8</v>
      </c>
      <c r="HZ24" s="1155">
        <v>8</v>
      </c>
      <c r="IA24" s="1155">
        <v>8</v>
      </c>
      <c r="IB24" s="1155">
        <v>8</v>
      </c>
      <c r="IC24" s="1155">
        <v>8</v>
      </c>
      <c r="ID24" s="1155">
        <v>8</v>
      </c>
      <c r="IE24" s="1155">
        <v>8</v>
      </c>
      <c r="IF24" s="1155">
        <v>8</v>
      </c>
      <c r="IG24" s="1155">
        <v>8</v>
      </c>
      <c r="IH24" s="1155">
        <v>8</v>
      </c>
      <c r="II24" s="1155">
        <v>8</v>
      </c>
      <c r="IJ24" s="1155">
        <v>8</v>
      </c>
      <c r="IK24" s="1155">
        <v>8</v>
      </c>
      <c r="IL24" s="1155">
        <v>8</v>
      </c>
      <c r="IM24" s="1155">
        <v>8</v>
      </c>
      <c r="IN24" s="1155">
        <v>8</v>
      </c>
      <c r="IO24" s="1155">
        <v>8</v>
      </c>
      <c r="IP24" s="1155">
        <v>8</v>
      </c>
      <c r="IQ24" s="1155">
        <v>8</v>
      </c>
      <c r="IR24" s="1155">
        <v>8</v>
      </c>
      <c r="IS24" s="1155">
        <v>8</v>
      </c>
      <c r="IT24" s="1155">
        <v>8</v>
      </c>
      <c r="IU24" s="1155">
        <v>23</v>
      </c>
    </row>
  </sheetData>
  <sheetProtection formatColumns="0" formatRows="0" autoFilter="0" sort="0" insertRows="0" insertColumns="1" deleteRows="0" deleteColumns="0"/>
  <mergeCells count="4">
    <mergeCell ref="E5:J5"/>
    <mergeCell ref="E7:I7"/>
    <mergeCell ref="J7:J8"/>
    <mergeCell ref="J9:J10"/>
  </mergeCells>
  <dataValidations count="2">
    <dataValidation type="textLength" allowBlank="1" showInputMessage="1" showErrorMessage="1" sqref="I3">
      <formula1>13</formula1>
      <formula2>15</formula2>
    </dataValidation>
    <dataValidation type="textLength" allowBlank="1" showInputMessage="1" showErrorMessage="1" prompt="ОГРН состоит из 13 цифр, ОГРНИП - из 15" sqref="I9 I2">
      <formula1>13</formula1>
      <formula2>15</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5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1BCB9E5-885C-28C4-DED5-7AD7A66E038A}" mc:Ignorable="x14ac xr xr2 xr3">
  <dimension ref="A1:IW15"/>
  <sheetViews>
    <sheetView showGridLines="0" zoomScale="90" workbookViewId="0">
      <pane xSplit="6" ySplit="9" topLeftCell="G10" activePane="bottomRight" state="frozen"/>
      <selection pane="bottomLeft" activeCell="A10" sqref="A10"/>
      <selection pane="topRight" activeCell="G1" sqref="G1"/>
      <selection pane="bottomRight" activeCell="A1" sqref="A1"/>
    </sheetView>
  </sheetViews>
  <sheetFormatPr defaultColWidth="9.140625" customHeight="1" defaultRowHeight="14.25"/>
  <cols>
    <col min="1" max="1" style="1635" width="9.140625" hidden="1"/>
    <col min="2" max="2" style="1366" width="9.140625" hidden="1"/>
    <col min="3" max="3" style="1635" width="3.7109375" hidden="1" customWidth="1"/>
    <col min="4" max="4" style="1842" width="3.00390625" customWidth="1"/>
    <col min="5" max="5" style="1635" width="6.00390625" customWidth="1"/>
    <col min="6" max="6" style="1635" width="27.00390625" customWidth="1"/>
    <col min="7" max="7" style="1635" width="16.00390625" customWidth="1"/>
    <col min="8" max="8" style="1635" width="12.00390625" customWidth="1"/>
    <col min="9" max="9" style="1635" width="32.00390625" customWidth="1"/>
    <col min="10" max="11" style="1635" width="41.00390625" customWidth="1"/>
    <col min="12" max="12" style="1635" width="89.00390625" customWidth="1"/>
    <col min="13" max="13" style="1624" width="3.00390625" customWidth="1"/>
    <col min="14" max="16" style="1624" width="8.00390625" customWidth="1"/>
    <col min="17" max="17" style="1624" width="25.00390625" customWidth="1"/>
    <col min="18" max="18" style="1624" width="14.00390625" customWidth="1"/>
    <col min="19" max="22" style="225" width="8.00390625" customWidth="1"/>
    <col min="23" max="256" style="1635" width="8.00390625" customWidth="1"/>
    <col min="257" max="257" style="1635" width="9.140625" hidden="1"/>
  </cols>
  <sheetData>
    <row customHeight="1" ht="22.5" hidden="1">
      <c r="IW1" s="1155" t="s">
        <v>14</v>
      </c>
    </row>
    <row s="1850" customFormat="1" customHeight="1" ht="22.5" hidden="1">
      <c r="A2" s="831"/>
      <c r="B2" s="1160">
        <v>1</v>
      </c>
      <c r="C2" s="1160"/>
      <c r="D2" s="1928" t="s">
        <v>122</v>
      </c>
      <c r="E2" s="1889"/>
      <c r="F2" s="1892" t="str">
        <f>IF(ROIV_INFO_NAME="","",ROIV_INFO_NAME)</f>
        <v>ПАО "ОГК-2"</v>
      </c>
      <c r="G2" s="1917" t="s">
        <v>22</v>
      </c>
      <c r="H2" s="1916"/>
      <c r="I2" s="1538"/>
      <c r="J2" s="818"/>
      <c r="K2" s="818"/>
      <c r="L2" s="228"/>
      <c r="M2" s="1535">
        <f>MERGEVALUE(F2)</f>
      </c>
      <c r="N2" s="511"/>
      <c r="O2" s="511"/>
      <c r="P2" s="500" t="str">
        <f t="array" ref="P2:P2">IF(ISERROR(MATCH(MID(Q2,1,250),MID(note_ter,1,250),0)),"n","y")</f>
        <v>n</v>
      </c>
      <c r="Q2" s="511"/>
      <c r="R2" s="500" t="str">
        <f>G2&amp;"("&amp;L2&amp;")"</f>
        <v>()</v>
      </c>
      <c r="S2" s="1160"/>
      <c r="T2" s="1160"/>
      <c r="U2" s="420"/>
      <c r="V2" s="1160"/>
      <c r="W2" s="1160"/>
      <c r="X2" s="1160"/>
      <c r="Y2" s="422"/>
      <c r="Z2" s="422"/>
      <c r="AA2" s="419"/>
      <c r="AB2" s="419"/>
      <c r="AC2" s="419"/>
      <c r="AD2" s="419"/>
      <c r="AE2" s="419"/>
      <c r="AF2" s="419"/>
      <c r="AG2" s="419"/>
      <c r="AH2" s="419"/>
      <c r="AI2" s="419"/>
      <c r="AJ2" s="419"/>
      <c r="AK2" s="419"/>
      <c r="AL2" s="419"/>
      <c r="AM2" s="419"/>
      <c r="AN2" s="419"/>
      <c r="AO2" s="419"/>
      <c r="AP2" s="419"/>
      <c r="AQ2" s="419"/>
      <c r="AR2" s="419"/>
      <c r="AS2" s="419"/>
      <c r="AT2" s="419"/>
      <c r="AU2" s="419"/>
      <c r="AV2" s="419"/>
      <c r="AW2" s="419"/>
      <c r="AX2" s="419"/>
      <c r="AY2" s="419"/>
      <c r="AZ2" s="419"/>
      <c r="BA2" s="419"/>
      <c r="BB2" s="419"/>
      <c r="BC2" s="419"/>
      <c r="BD2" s="419"/>
      <c r="BE2" s="419"/>
      <c r="BF2" s="419"/>
      <c r="BG2" s="419"/>
      <c r="BH2" s="419"/>
      <c r="BI2" s="419"/>
      <c r="BJ2" s="419"/>
      <c r="BK2" s="419"/>
      <c r="BL2" s="419"/>
      <c r="BM2" s="419"/>
      <c r="BN2" s="419"/>
      <c r="BO2" s="419"/>
      <c r="BP2" s="419"/>
      <c r="BQ2" s="419"/>
      <c r="BR2" s="419"/>
      <c r="BS2" s="419"/>
      <c r="BT2" s="419"/>
      <c r="BU2" s="419"/>
      <c r="BV2" s="422"/>
      <c r="BW2" s="422"/>
      <c r="BX2" s="422"/>
      <c r="BY2" s="422"/>
      <c r="BZ2" s="422"/>
      <c r="CA2" s="422"/>
      <c r="CB2" s="422"/>
      <c r="CC2" s="422"/>
      <c r="CD2" s="422"/>
      <c r="CE2" s="422"/>
      <c r="IW2" s="423">
        <v>0</v>
      </c>
    </row>
    <row s="1642" customFormat="1" customHeight="1" ht="5.25" hidden="1">
      <c r="A3" s="496"/>
      <c r="D3" s="494"/>
      <c r="F3" s="247" t="s">
        <v>83</v>
      </c>
      <c r="G3" s="1735" t="s">
        <v>84</v>
      </c>
      <c r="H3" s="494"/>
      <c r="I3" s="494"/>
      <c r="J3" s="494"/>
      <c r="K3" s="494"/>
      <c r="L3" s="227" t="s">
        <v>85</v>
      </c>
      <c r="M3" s="247" t="s">
        <v>83</v>
      </c>
      <c r="N3" s="247"/>
      <c r="O3" s="247"/>
      <c r="P3" s="247"/>
      <c r="Q3" s="248"/>
      <c r="R3" s="247"/>
      <c r="S3" s="247"/>
      <c r="T3" s="247"/>
      <c r="U3" s="247"/>
      <c r="V3" s="247"/>
      <c r="W3" s="227"/>
      <c r="X3" s="227"/>
      <c r="Y3" s="227"/>
      <c r="Z3" s="227"/>
      <c r="AA3" s="227"/>
      <c r="AB3" s="227"/>
      <c r="AC3" s="227"/>
      <c r="AD3" s="227"/>
      <c r="AE3" s="227"/>
      <c r="AF3" s="227"/>
      <c r="AG3" s="227"/>
      <c r="AH3" s="227"/>
      <c r="AI3" s="227"/>
      <c r="AJ3" s="227"/>
      <c r="AK3" s="227"/>
      <c r="AL3" s="227"/>
      <c r="AM3" s="227"/>
      <c r="AN3" s="227"/>
      <c r="AO3" s="227"/>
      <c r="AP3" s="227"/>
      <c r="AQ3" s="227"/>
      <c r="AR3" s="227"/>
      <c r="AS3" s="227"/>
      <c r="AT3" s="227"/>
      <c r="AU3" s="227"/>
      <c r="AV3" s="227"/>
      <c r="AW3" s="227"/>
      <c r="AX3" s="227"/>
      <c r="AY3" s="227"/>
      <c r="AZ3" s="227"/>
      <c r="BA3" s="227"/>
      <c r="BB3" s="227"/>
      <c r="BC3" s="227"/>
      <c r="BD3" s="227"/>
      <c r="BE3" s="227"/>
      <c r="BF3" s="227"/>
      <c r="BG3" s="227"/>
      <c r="BH3" s="227"/>
      <c r="BI3" s="227"/>
      <c r="BJ3" s="227"/>
      <c r="BK3" s="227"/>
      <c r="BL3" s="227"/>
      <c r="BM3" s="227"/>
      <c r="BN3" s="227"/>
      <c r="BO3" s="227"/>
      <c r="BP3" s="227"/>
      <c r="BQ3" s="227"/>
      <c r="BR3" s="227"/>
      <c r="BS3" s="227"/>
      <c r="BT3" s="227"/>
      <c r="BU3" s="227"/>
      <c r="BV3" s="227"/>
      <c r="BW3" s="227"/>
      <c r="BX3" s="227"/>
      <c r="BY3" s="227"/>
      <c r="BZ3" s="227"/>
      <c r="CA3" s="227"/>
      <c r="CB3" s="227"/>
      <c r="CC3" s="227"/>
      <c r="CD3" s="227"/>
      <c r="CE3" s="227"/>
      <c r="CF3" s="227"/>
      <c r="CG3" s="227"/>
      <c r="CH3" s="227"/>
      <c r="CI3" s="227"/>
      <c r="CJ3" s="227"/>
      <c r="CK3" s="227"/>
      <c r="CL3" s="227"/>
      <c r="CM3" s="227"/>
      <c r="CN3" s="227"/>
      <c r="CO3" s="227"/>
      <c r="CP3" s="227"/>
      <c r="CQ3" s="227"/>
      <c r="CR3" s="227"/>
      <c r="CS3" s="227"/>
      <c r="CT3" s="227"/>
      <c r="CU3" s="227"/>
      <c r="CV3" s="227"/>
      <c r="CW3" s="227"/>
      <c r="CX3" s="227"/>
      <c r="CY3" s="227"/>
      <c r="CZ3" s="227"/>
      <c r="DA3" s="227"/>
      <c r="DB3" s="227"/>
      <c r="DC3" s="227"/>
      <c r="DD3" s="227"/>
      <c r="DE3" s="227"/>
      <c r="DF3" s="227"/>
      <c r="DG3" s="227"/>
      <c r="DH3" s="227"/>
      <c r="DI3" s="227"/>
      <c r="DJ3" s="227"/>
      <c r="DK3" s="227"/>
      <c r="DL3" s="227"/>
      <c r="DM3" s="227"/>
      <c r="DN3" s="227"/>
      <c r="DO3" s="227"/>
      <c r="DP3" s="227"/>
      <c r="DQ3" s="227"/>
      <c r="DR3" s="227"/>
      <c r="DS3" s="227"/>
      <c r="DT3" s="227"/>
      <c r="DU3" s="227"/>
      <c r="DV3" s="227"/>
      <c r="DW3" s="227"/>
      <c r="DX3" s="227"/>
      <c r="DY3" s="227"/>
      <c r="DZ3" s="227"/>
      <c r="EA3" s="227"/>
      <c r="EB3" s="227"/>
      <c r="EC3" s="227"/>
      <c r="ED3" s="227"/>
      <c r="EE3" s="227"/>
      <c r="EF3" s="227"/>
      <c r="EG3" s="227"/>
      <c r="EH3" s="227"/>
      <c r="EI3" s="227"/>
      <c r="EJ3" s="227"/>
      <c r="EK3" s="227"/>
      <c r="EL3" s="227"/>
      <c r="EM3" s="227"/>
      <c r="EN3" s="227"/>
      <c r="EO3" s="227"/>
      <c r="EP3" s="227"/>
      <c r="EQ3" s="227"/>
      <c r="ER3" s="227"/>
      <c r="ES3" s="227"/>
      <c r="ET3" s="227"/>
      <c r="EU3" s="227"/>
      <c r="EV3" s="227"/>
      <c r="EW3" s="227"/>
      <c r="EX3" s="227"/>
      <c r="EY3" s="227"/>
      <c r="EZ3" s="227"/>
      <c r="FA3" s="227"/>
      <c r="FB3" s="227"/>
      <c r="FC3" s="227"/>
      <c r="FD3" s="227"/>
      <c r="FE3" s="227"/>
      <c r="FF3" s="227"/>
      <c r="FG3" s="227"/>
      <c r="FH3" s="227"/>
      <c r="FI3" s="227"/>
      <c r="FJ3" s="227"/>
      <c r="FK3" s="227"/>
      <c r="FL3" s="227"/>
      <c r="FM3" s="227"/>
      <c r="FN3" s="227"/>
      <c r="FO3" s="227"/>
      <c r="FP3" s="227"/>
      <c r="FQ3" s="227"/>
      <c r="FR3" s="227"/>
      <c r="FS3" s="227"/>
      <c r="FT3" s="227"/>
      <c r="FU3" s="227"/>
      <c r="FV3" s="227"/>
      <c r="FW3" s="227"/>
      <c r="FX3" s="227"/>
      <c r="FY3" s="227"/>
      <c r="FZ3" s="227"/>
      <c r="GA3" s="227"/>
      <c r="GB3" s="227"/>
      <c r="GC3" s="227"/>
      <c r="GD3" s="227"/>
      <c r="GE3" s="227"/>
      <c r="GF3" s="227"/>
      <c r="GG3" s="227"/>
      <c r="GH3" s="227"/>
      <c r="GI3" s="227"/>
      <c r="GJ3" s="227"/>
      <c r="GK3" s="227"/>
      <c r="GL3" s="227"/>
      <c r="GM3" s="227"/>
      <c r="GN3" s="227"/>
      <c r="GO3" s="227"/>
      <c r="GP3" s="227"/>
      <c r="GQ3" s="227"/>
      <c r="GR3" s="227"/>
      <c r="GS3" s="227"/>
      <c r="GT3" s="227"/>
      <c r="GU3" s="227"/>
      <c r="GV3" s="227"/>
      <c r="GW3" s="227"/>
      <c r="GX3" s="227"/>
      <c r="GY3" s="227"/>
      <c r="GZ3" s="227"/>
      <c r="HA3" s="227"/>
      <c r="HB3" s="227"/>
      <c r="HC3" s="227"/>
      <c r="HD3" s="227"/>
      <c r="HE3" s="227"/>
      <c r="HF3" s="227"/>
      <c r="HG3" s="227"/>
      <c r="HH3" s="227"/>
      <c r="HI3" s="227"/>
      <c r="HJ3" s="227"/>
      <c r="HK3" s="227"/>
      <c r="HL3" s="227"/>
      <c r="HM3" s="227"/>
      <c r="HN3" s="227"/>
      <c r="HO3" s="227"/>
      <c r="HP3" s="227"/>
      <c r="HQ3" s="227"/>
      <c r="HR3" s="227"/>
      <c r="HS3" s="227"/>
      <c r="HT3" s="227"/>
      <c r="HU3" s="227"/>
      <c r="HV3" s="227"/>
      <c r="HW3" s="227"/>
      <c r="HX3" s="227"/>
      <c r="HY3" s="227"/>
      <c r="HZ3" s="227"/>
      <c r="IA3" s="227"/>
      <c r="IB3" s="227"/>
      <c r="IC3" s="227"/>
      <c r="ID3" s="227"/>
      <c r="IE3" s="227"/>
      <c r="IF3" s="227"/>
      <c r="IG3" s="227"/>
      <c r="IH3" s="227"/>
      <c r="II3" s="227"/>
      <c r="IJ3" s="227"/>
      <c r="IK3" s="227"/>
      <c r="IL3" s="227"/>
      <c r="IM3" s="227"/>
      <c r="IN3" s="227"/>
      <c r="IO3" s="227"/>
      <c r="IP3" s="227"/>
      <c r="IQ3" s="227"/>
      <c r="IR3" s="227"/>
      <c r="IS3" s="227"/>
      <c r="IT3" s="227"/>
      <c r="IU3" s="227"/>
      <c r="IV3" s="227"/>
      <c r="IW3" s="511">
        <v>0</v>
      </c>
    </row>
    <row s="1819" customFormat="1" customHeight="1" ht="14.699999999999998">
      <c r="A4" s="1155"/>
      <c r="B4" s="1160"/>
      <c r="C4" s="1155"/>
      <c r="D4" s="1495"/>
      <c r="E4" s="509"/>
      <c r="F4" s="509"/>
      <c r="G4" s="509"/>
      <c r="H4" s="509"/>
      <c r="I4" s="509"/>
      <c r="J4" s="509"/>
      <c r="K4" s="509"/>
      <c r="L4" s="166"/>
      <c r="M4" s="247"/>
      <c r="N4" s="500"/>
      <c r="O4" s="500"/>
      <c r="P4" s="500"/>
      <c r="Q4" s="226"/>
      <c r="R4" s="500"/>
      <c r="S4" s="225"/>
      <c r="T4" s="225"/>
      <c r="U4" s="225"/>
      <c r="V4" s="225"/>
      <c r="IW4" s="507">
        <v>14</v>
      </c>
    </row>
    <row s="1819" customFormat="1" customHeight="1" ht="27.299999999999997">
      <c r="A5" s="1155"/>
      <c r="B5" s="1160"/>
      <c r="C5" s="1155"/>
      <c r="D5" s="1495"/>
      <c r="E5" s="2100" t="str">
        <f>"Форма "&amp;IF(TEMPLATE_SPHERE="HEAT","4","3")&amp;". Информация о рассмотрении дел об установлении "&amp;IF(TEMPLATE_SPHERE="TKO","предельных тарифов","тарифов в сфере "&amp;TEMPLATE_SPHERE_RUS)</f>
        <v>Форма 4. Информация о рассмотрении дел об установлении тарифов в сфере теплоснабжения</v>
      </c>
      <c r="F5" s="2100"/>
      <c r="G5" s="2100"/>
      <c r="H5" s="2100"/>
      <c r="I5" s="2100"/>
      <c r="J5" s="2100"/>
      <c r="K5" s="2100"/>
      <c r="L5" s="588"/>
      <c r="M5" s="247"/>
      <c r="N5" s="500"/>
      <c r="O5" s="500"/>
      <c r="P5" s="500"/>
      <c r="Q5" s="226"/>
      <c r="R5" s="500"/>
      <c r="S5" s="225"/>
      <c r="T5" s="225"/>
      <c r="U5" s="225"/>
      <c r="V5" s="225"/>
      <c r="IW5" s="507">
        <v>26</v>
      </c>
    </row>
    <row s="1819" customFormat="1" customHeight="1" ht="14.699999999999998">
      <c r="A6" s="1155"/>
      <c r="B6" s="1160"/>
      <c r="C6" s="1155"/>
      <c r="D6" s="1495"/>
      <c r="E6" s="509"/>
      <c r="F6" s="167"/>
      <c r="G6" s="167"/>
      <c r="H6" s="167"/>
      <c r="I6" s="167"/>
      <c r="J6" s="167"/>
      <c r="K6" s="167"/>
      <c r="L6" s="168"/>
      <c r="M6" s="500"/>
      <c r="N6" s="500"/>
      <c r="O6" s="500"/>
      <c r="P6" s="500"/>
      <c r="Q6" s="226"/>
      <c r="R6" s="500"/>
      <c r="S6" s="225"/>
      <c r="T6" s="225"/>
      <c r="U6" s="225"/>
      <c r="V6" s="225"/>
      <c r="IW6" s="507">
        <v>14</v>
      </c>
    </row>
    <row s="1819" customFormat="1" customHeight="1" ht="14.699999999999998">
      <c r="A7" s="1155"/>
      <c r="B7" s="1160"/>
      <c r="C7" s="1155"/>
      <c r="D7" s="1495"/>
      <c r="E7" s="2101" t="s">
        <v>302</v>
      </c>
      <c r="F7" s="2102"/>
      <c r="G7" s="2102"/>
      <c r="H7" s="2102"/>
      <c r="I7" s="2102"/>
      <c r="J7" s="2102"/>
      <c r="K7" s="2102"/>
      <c r="L7" s="2474" t="s">
        <v>303</v>
      </c>
      <c r="M7" s="500"/>
      <c r="N7" s="500"/>
      <c r="O7" s="500"/>
      <c r="P7" s="500"/>
      <c r="Q7" s="226"/>
      <c r="R7" s="500"/>
      <c r="S7" s="225"/>
      <c r="T7" s="225"/>
      <c r="U7" s="225"/>
      <c r="V7" s="225"/>
      <c r="IW7" s="507">
        <v>14</v>
      </c>
    </row>
    <row s="1819" customFormat="1" customHeight="1" ht="67.2">
      <c r="A8" s="1155"/>
      <c r="B8" s="1160"/>
      <c r="C8" s="1155"/>
      <c r="D8" s="1495"/>
      <c r="E8" s="2478" t="s">
        <v>88</v>
      </c>
      <c r="F8" s="2478" t="str">
        <f>"Наименование "&amp;IF(TEMPLATE_SPHERE="TKO","регионального органа регулирования (органа местного самоуправления)","органа "&amp;IF(TEMPLATE_SPHERE="HEAT","тарифного регулирования","регулирования тарифов"))</f>
        <v>Наименование органа тарифного регулирования</v>
      </c>
      <c r="G8" s="2480" t="str">
        <f>"Заседание правления (коллегии) "&amp;IF(TEMPLATE_SPHERE="TKO","регионального органа регулирования (органа местного самоуправления)","органа "&amp;IF(TEMPLATE_SPHERE="HEAT","тарифного регулирования","регулирования тарифов"))&amp;", на котором планируется рассмотрение дел об установлении "&amp;IF(TEMPLATE_SPHERE="TKO","предельных тарифов",IF(TEMPLATE_SPHERE="HEAT","цен (тарифов) в сфере теплоснабжения","тарифов в сфере водоснабжения и водоотведения"))</f>
        <v>Заседание правления (коллегии) органа тарифного регулирования, на котором планируется рассмотрение дел об установлении цен (тарифов) в сфере теплоснабжения</v>
      </c>
      <c r="H8" s="2481"/>
      <c r="I8" s="2482"/>
      <c r="J8" s="2478" t="str">
        <f>"Принятые "&amp;IF(TEMPLATE_SPHERE="TKO","региональным органом регулирования (органом местного самоуправления)","органом "&amp;IF(TEMPLATE_SPHERE="HEAT","тарифного регулирования","регулирования тарифов"))&amp;" решения об установлении "&amp;IF(TEMPLATE_SPHERE="TKO","предельных тарифов",IF(TEMPLATE_SPHERE="HEAT","цен (тарифов) в сфере теплоснабжения, а также решения об утверждении предельного уровня цены на тепловую энергию (мощность), принимаемые в соответствии с Федеральным законом от 27 июля 2010 г. N 190-ФЗ ""О теплоснабжении""","тарифов в сфере водоснабжения и водоотведения"))</f>
        <v>Принятые органом тарифного регулирования решения об установлении цен (тарифов) в сфере теплоснабжения, а также решения об утверждении предельного уровня цены на тепловую энергию (мощность), принимаемые в соответствии с Федеральным законом от 27 июля 2010 г. N 190-ФЗ "О теплоснабжении"</v>
      </c>
      <c r="K8" s="2478" t="str">
        <f>"Протокол заседания правления (коллегии) "&amp;IF(TEMPLATE_SPHERE="TKO","регионального органа регулирования (органа местного самоуправления)","органа "&amp;IF(TEMPLATE_SPHERE="HEAT","тарифного регулирования","регулирования тарифов"))&amp;", оформленный в соответствии "&amp;IF(TEMPLATE_SPHERE="HEAT","с законодательством Российской Федерации",IF(TEMPLATE_SPHERE="TKO","с требованиями, установленными Правилами регулирования тарифов в сфере обращения с твердыми коммунальными отходами, утвержденными постановлением Правительства Российской Федерации от 30 мая 2016 г. N 484","с требованиями, установленными Правилами регулирования тарифов в сфере водоснабжения и водоотведения, утвержденными постановлением Правительства Российской Федерации от 13 мая 2013 г. № 406"))</f>
        <v>Протокол заседания правления (коллегии) органа тарифного регулирования, оформленный в соответствии с законодательством Российской Федерации</v>
      </c>
      <c r="L8" s="2476"/>
      <c r="M8" s="500"/>
      <c r="N8" s="500"/>
      <c r="O8" s="500"/>
      <c r="P8" s="500"/>
      <c r="Q8" s="226"/>
      <c r="R8" s="500"/>
      <c r="S8" s="225"/>
      <c r="T8" s="225"/>
      <c r="U8" s="225"/>
      <c r="V8" s="225"/>
      <c r="IW8" s="507">
        <v>64</v>
      </c>
    </row>
    <row s="1819" customFormat="1" customHeight="1" ht="29.25">
      <c r="A9" s="1155"/>
      <c r="B9" s="1160"/>
      <c r="C9" s="1155"/>
      <c r="D9" s="1495"/>
      <c r="E9" s="2479"/>
      <c r="F9" s="2479"/>
      <c r="G9" s="1537" t="s">
        <v>1874</v>
      </c>
      <c r="H9" s="1537" t="s">
        <v>1875</v>
      </c>
      <c r="I9" s="1537" t="s">
        <v>1876</v>
      </c>
      <c r="J9" s="2479"/>
      <c r="K9" s="2479"/>
      <c r="L9" s="2475"/>
      <c r="M9" s="500"/>
      <c r="N9" s="500"/>
      <c r="O9" s="500"/>
      <c r="P9" s="500"/>
      <c r="Q9" s="226"/>
      <c r="R9" s="500"/>
      <c r="S9" s="225"/>
      <c r="T9" s="225"/>
      <c r="U9" s="225"/>
      <c r="V9" s="225"/>
      <c r="IW9" s="507">
        <v>28</v>
      </c>
    </row>
    <row s="1850" customFormat="1" customHeight="1" ht="23.25">
      <c r="A10" s="2099"/>
      <c r="B10" s="1160">
        <v>1</v>
      </c>
      <c r="C10" s="1160"/>
      <c r="D10" s="800"/>
      <c r="E10" s="798">
        <v>1</v>
      </c>
      <c r="F10" s="1539" t="str">
        <f>IF(ROIV_INFO_NAME="","",ROIV_INFO_NAME)</f>
        <v>ПАО "ОГК-2"</v>
      </c>
      <c r="G10" s="1732" t="s">
        <v>22</v>
      </c>
      <c r="H10" s="1916"/>
      <c r="I10" s="1534"/>
      <c r="J10" s="818"/>
      <c r="K10" s="818"/>
      <c r="L10" s="2432" t="str">
        <f>"В поле «"&amp;F8&amp;"»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образован."&amp;"
В поле «дата» указывается дата в виде «ДД.ММ.ГГГГ».
В поле «место» указывается адрес места проведения заседания (коллегии).
В полях «"&amp;MID(J8,1,40)&amp;"… » и «"&amp;MID(K8,1,40)&amp;"…» указываются ссылка на документ, предварительно загруженный в хранилище файлов ФГИС ЕИАС."</f>
        <v>В поле «Наименование органа тарифного регулирования»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тарифного регулирования… » и «Протокол заседания правления (коллегии) …» указываются ссылка на документ, предварительно загруженный в хранилище файлов ФГИС ЕИАС.</v>
      </c>
      <c r="M10" s="1535">
        <f>MERGEVALUE(F10)</f>
      </c>
      <c r="N10" s="511"/>
      <c r="O10" s="511"/>
      <c r="P10" s="500" t="str">
        <f t="array" ref="P10:P10">IF(ISERROR(MATCH(MID(Q10,1,250),MID(note_ter,1,250),0)),"n","y")</f>
        <v>n</v>
      </c>
      <c r="Q10" s="511"/>
      <c r="R10" s="500" t="str">
        <f>G10&amp;"("&amp;L10&amp;")"</f>
        <v>(В поле «Наименование органа тарифного регулирования»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тарифного регулирования… » и «Протокол заседания правления (коллегии) …» указываются ссылка на документ, предварительно загруженный в хранилище файлов ФГИС ЕИАС.)</v>
      </c>
      <c r="S10" s="1160"/>
      <c r="T10" s="1160"/>
      <c r="U10" s="420"/>
      <c r="V10" s="1160"/>
      <c r="W10" s="1160"/>
      <c r="X10" s="1160"/>
      <c r="Y10" s="422"/>
      <c r="Z10" s="422"/>
      <c r="AA10" s="419"/>
      <c r="AB10" s="419"/>
      <c r="AC10" s="419"/>
      <c r="AD10" s="419"/>
      <c r="AE10" s="419"/>
      <c r="AF10" s="419"/>
      <c r="AG10" s="419"/>
      <c r="AH10" s="419"/>
      <c r="AI10" s="419"/>
      <c r="AJ10" s="419"/>
      <c r="AK10" s="419"/>
      <c r="AL10" s="419"/>
      <c r="AM10" s="419"/>
      <c r="AN10" s="419"/>
      <c r="AO10" s="419"/>
      <c r="AP10" s="419"/>
      <c r="AQ10" s="419"/>
      <c r="AR10" s="419"/>
      <c r="AS10" s="419"/>
      <c r="AT10" s="419"/>
      <c r="AU10" s="419"/>
      <c r="AV10" s="419"/>
      <c r="AW10" s="419"/>
      <c r="AX10" s="419"/>
      <c r="AY10" s="419"/>
      <c r="AZ10" s="419"/>
      <c r="BA10" s="419"/>
      <c r="BB10" s="419"/>
      <c r="BC10" s="419"/>
      <c r="BD10" s="419"/>
      <c r="BE10" s="419"/>
      <c r="BF10" s="419"/>
      <c r="BG10" s="419"/>
      <c r="BH10" s="419"/>
      <c r="BI10" s="419"/>
      <c r="BJ10" s="419"/>
      <c r="BK10" s="419"/>
      <c r="BL10" s="419"/>
      <c r="BM10" s="419"/>
      <c r="BN10" s="419"/>
      <c r="BO10" s="419"/>
      <c r="BP10" s="419"/>
      <c r="BQ10" s="419"/>
      <c r="BR10" s="419"/>
      <c r="BS10" s="419"/>
      <c r="BT10" s="419"/>
      <c r="BU10" s="419"/>
      <c r="BV10" s="422"/>
      <c r="BW10" s="422"/>
      <c r="BX10" s="422"/>
      <c r="BY10" s="422"/>
      <c r="BZ10" s="422"/>
      <c r="CA10" s="422"/>
      <c r="CB10" s="422"/>
      <c r="CC10" s="422"/>
      <c r="CD10" s="422"/>
      <c r="CE10" s="422"/>
      <c r="IW10" s="423">
        <v>22</v>
      </c>
    </row>
    <row s="1850" customFormat="1" customHeight="1" ht="15.75">
      <c r="A11" s="2099"/>
      <c r="B11" s="1160"/>
      <c r="C11" s="412"/>
      <c r="D11" s="801"/>
      <c r="E11" s="421"/>
      <c r="F11" s="416" t="s">
        <v>1877</v>
      </c>
      <c r="G11" s="187"/>
      <c r="H11" s="187"/>
      <c r="I11" s="187"/>
      <c r="J11" s="187"/>
      <c r="K11" s="424"/>
      <c r="L11" s="2477"/>
      <c r="M11" s="1536"/>
      <c r="N11" s="511"/>
      <c r="O11" s="511"/>
      <c r="P11" s="511"/>
      <c r="Q11" s="500"/>
      <c r="R11" s="511"/>
      <c r="S11" s="1160"/>
      <c r="T11" s="1160"/>
      <c r="U11" s="420"/>
      <c r="V11" s="1160"/>
      <c r="W11" s="1160"/>
      <c r="X11" s="1160"/>
      <c r="Y11" s="422"/>
      <c r="Z11" s="422"/>
      <c r="AA11" s="419"/>
      <c r="AB11" s="419"/>
      <c r="AC11" s="419"/>
      <c r="AD11" s="419"/>
      <c r="AE11" s="419"/>
      <c r="AF11" s="419"/>
      <c r="AG11" s="419"/>
      <c r="AH11" s="419"/>
      <c r="AI11" s="419"/>
      <c r="AJ11" s="419"/>
      <c r="AK11" s="419"/>
      <c r="AL11" s="419"/>
      <c r="AM11" s="419"/>
      <c r="AN11" s="419"/>
      <c r="AO11" s="419"/>
      <c r="AP11" s="419"/>
      <c r="AQ11" s="419"/>
      <c r="AR11" s="419"/>
      <c r="AS11" s="419"/>
      <c r="AT11" s="419"/>
      <c r="AU11" s="419"/>
      <c r="AV11" s="419"/>
      <c r="AW11" s="419"/>
      <c r="AX11" s="419"/>
      <c r="AY11" s="419"/>
      <c r="AZ11" s="419"/>
      <c r="BA11" s="419"/>
      <c r="BB11" s="419"/>
      <c r="BC11" s="419"/>
      <c r="BD11" s="419"/>
      <c r="BE11" s="419"/>
      <c r="BF11" s="419"/>
      <c r="BG11" s="419"/>
      <c r="BH11" s="419"/>
      <c r="BI11" s="419"/>
      <c r="BJ11" s="419"/>
      <c r="BK11" s="419"/>
      <c r="BL11" s="419"/>
      <c r="BM11" s="419"/>
      <c r="BN11" s="419"/>
      <c r="BO11" s="419"/>
      <c r="BP11" s="419"/>
      <c r="BQ11" s="419"/>
      <c r="BR11" s="419"/>
      <c r="BS11" s="419"/>
      <c r="BT11" s="419"/>
      <c r="BU11" s="419"/>
      <c r="BV11" s="422"/>
      <c r="BW11" s="422"/>
      <c r="BX11" s="422"/>
      <c r="BY11" s="422"/>
      <c r="BZ11" s="422"/>
      <c r="CA11" s="422"/>
      <c r="CB11" s="422"/>
      <c r="CC11" s="422"/>
      <c r="CD11" s="422"/>
      <c r="CE11" s="422"/>
      <c r="IW11" s="423">
        <v>15</v>
      </c>
    </row>
    <row s="1819" customFormat="1" customHeight="1" ht="22.049999999999997">
      <c r="A12" s="1155"/>
      <c r="B12" s="1160"/>
      <c r="C12" s="1155"/>
      <c r="D12" s="451"/>
      <c r="E12" s="180"/>
      <c r="F12" s="180"/>
      <c r="G12" s="180"/>
      <c r="H12" s="180"/>
      <c r="I12" s="180"/>
      <c r="J12" s="180"/>
      <c r="K12" s="180"/>
      <c r="L12" s="180"/>
      <c r="M12" s="500"/>
      <c r="N12" s="500"/>
      <c r="O12" s="500"/>
      <c r="P12" s="500"/>
      <c r="Q12" s="226"/>
      <c r="R12" s="500"/>
      <c r="S12" s="225"/>
      <c r="T12" s="225"/>
      <c r="U12" s="225"/>
      <c r="V12" s="225"/>
      <c r="IW12" s="507">
        <v>21</v>
      </c>
    </row>
    <row s="1819" customFormat="1" customHeight="1" ht="14.699999999999998">
      <c r="A13" s="1155"/>
      <c r="B13" s="1160"/>
      <c r="C13" s="1155"/>
      <c r="D13" s="451"/>
      <c r="E13" s="1155"/>
      <c r="F13" s="1155"/>
      <c r="G13" s="1155"/>
      <c r="H13" s="1155"/>
      <c r="I13" s="1155"/>
      <c r="J13" s="1155"/>
      <c r="K13" s="1155"/>
      <c r="L13" s="1155"/>
      <c r="M13" s="500"/>
      <c r="N13" s="500"/>
      <c r="O13" s="500"/>
      <c r="P13" s="500"/>
      <c r="Q13" s="226"/>
      <c r="R13" s="500"/>
      <c r="S13" s="225"/>
      <c r="T13" s="225"/>
      <c r="U13" s="225"/>
      <c r="V13" s="225"/>
      <c r="IW13" s="507">
        <v>14</v>
      </c>
    </row>
    <row s="1819" customFormat="1" customHeight="1" ht="1.05">
      <c r="A14" s="1155"/>
      <c r="B14" s="1160"/>
      <c r="C14" s="1155"/>
      <c r="D14" s="451"/>
      <c r="E14" s="1155"/>
      <c r="F14" s="1155"/>
      <c r="G14" s="1155"/>
      <c r="H14" s="1155"/>
      <c r="I14" s="1155"/>
      <c r="J14" s="1155"/>
      <c r="K14" s="1155"/>
      <c r="L14" s="1155"/>
      <c r="M14" s="500"/>
      <c r="N14" s="500"/>
      <c r="O14" s="500"/>
      <c r="P14" s="500"/>
      <c r="Q14" s="226"/>
      <c r="R14" s="500"/>
      <c r="S14" s="225"/>
      <c r="T14" s="225"/>
      <c r="U14" s="225"/>
      <c r="V14" s="225"/>
      <c r="IW14" s="507">
        <v>1</v>
      </c>
    </row>
    <row customHeight="1" ht="22.5" hidden="1">
      <c r="A15" s="1155" t="s">
        <v>82</v>
      </c>
      <c r="B15" s="1160">
        <v>0</v>
      </c>
      <c r="C15" s="1155">
        <v>0</v>
      </c>
      <c r="D15" s="451">
        <v>3</v>
      </c>
      <c r="E15" s="1155">
        <v>6</v>
      </c>
      <c r="F15" s="1155">
        <v>27</v>
      </c>
      <c r="G15" s="1155">
        <v>16</v>
      </c>
      <c r="H15" s="1155">
        <v>12</v>
      </c>
      <c r="I15" s="1155">
        <v>32</v>
      </c>
      <c r="J15" s="1155">
        <v>41</v>
      </c>
      <c r="K15" s="1155">
        <v>41</v>
      </c>
      <c r="L15" s="1155">
        <v>89</v>
      </c>
      <c r="M15" s="500">
        <v>3</v>
      </c>
      <c r="N15" s="500">
        <v>8</v>
      </c>
      <c r="O15" s="500">
        <v>8</v>
      </c>
      <c r="P15" s="500">
        <v>8</v>
      </c>
      <c r="Q15" s="226">
        <v>25</v>
      </c>
      <c r="R15" s="500">
        <v>14</v>
      </c>
      <c r="S15" s="225">
        <v>8</v>
      </c>
      <c r="T15" s="225">
        <v>8</v>
      </c>
      <c r="U15" s="225">
        <v>8</v>
      </c>
      <c r="V15" s="225">
        <v>8</v>
      </c>
      <c r="W15" s="1155">
        <v>8</v>
      </c>
      <c r="X15" s="1155">
        <v>8</v>
      </c>
      <c r="Y15" s="1155">
        <v>8</v>
      </c>
      <c r="Z15" s="1155">
        <v>8</v>
      </c>
      <c r="AA15" s="1155">
        <v>8</v>
      </c>
      <c r="AB15" s="1155">
        <v>8</v>
      </c>
      <c r="AC15" s="1155">
        <v>8</v>
      </c>
      <c r="AD15" s="1155">
        <v>8</v>
      </c>
      <c r="AE15" s="1155">
        <v>8</v>
      </c>
      <c r="AF15" s="1155">
        <v>8</v>
      </c>
      <c r="AG15" s="1155">
        <v>8</v>
      </c>
      <c r="AH15" s="1155">
        <v>8</v>
      </c>
      <c r="AI15" s="1155">
        <v>8</v>
      </c>
      <c r="AJ15" s="1155">
        <v>8</v>
      </c>
      <c r="AK15" s="1155">
        <v>8</v>
      </c>
      <c r="AL15" s="1155">
        <v>8</v>
      </c>
      <c r="AM15" s="1155">
        <v>8</v>
      </c>
      <c r="AN15" s="1155">
        <v>8</v>
      </c>
      <c r="AO15" s="1155">
        <v>8</v>
      </c>
      <c r="AP15" s="1155">
        <v>8</v>
      </c>
      <c r="AQ15" s="1155">
        <v>8</v>
      </c>
      <c r="AR15" s="1155">
        <v>8</v>
      </c>
      <c r="AS15" s="1155">
        <v>8</v>
      </c>
      <c r="AT15" s="1155">
        <v>8</v>
      </c>
      <c r="AU15" s="1155">
        <v>8</v>
      </c>
      <c r="AV15" s="1155">
        <v>8</v>
      </c>
      <c r="AW15" s="1155">
        <v>8</v>
      </c>
      <c r="AX15" s="1155">
        <v>8</v>
      </c>
      <c r="AY15" s="1155">
        <v>8</v>
      </c>
      <c r="AZ15" s="1155">
        <v>8</v>
      </c>
      <c r="BA15" s="1155">
        <v>8</v>
      </c>
      <c r="BB15" s="1155">
        <v>8</v>
      </c>
      <c r="BC15" s="1155">
        <v>8</v>
      </c>
      <c r="BD15" s="1155">
        <v>8</v>
      </c>
      <c r="BE15" s="1155">
        <v>8</v>
      </c>
      <c r="BF15" s="1155">
        <v>8</v>
      </c>
      <c r="BG15" s="1155">
        <v>8</v>
      </c>
      <c r="BH15" s="1155">
        <v>8</v>
      </c>
      <c r="BI15" s="1155">
        <v>8</v>
      </c>
      <c r="BJ15" s="1155">
        <v>8</v>
      </c>
      <c r="BK15" s="1155">
        <v>8</v>
      </c>
      <c r="BL15" s="1155">
        <v>8</v>
      </c>
      <c r="BM15" s="1155">
        <v>8</v>
      </c>
      <c r="BN15" s="1155">
        <v>8</v>
      </c>
      <c r="BO15" s="1155">
        <v>8</v>
      </c>
      <c r="BP15" s="1155">
        <v>8</v>
      </c>
      <c r="BQ15" s="1155">
        <v>8</v>
      </c>
      <c r="BR15" s="1155">
        <v>8</v>
      </c>
      <c r="BS15" s="1155">
        <v>8</v>
      </c>
      <c r="BT15" s="1155">
        <v>8</v>
      </c>
      <c r="BU15" s="1155">
        <v>8</v>
      </c>
      <c r="BV15" s="1155">
        <v>8</v>
      </c>
      <c r="BW15" s="1155">
        <v>8</v>
      </c>
      <c r="BX15" s="1155">
        <v>8</v>
      </c>
      <c r="BY15" s="1155">
        <v>8</v>
      </c>
      <c r="BZ15" s="1155">
        <v>8</v>
      </c>
      <c r="CA15" s="1155">
        <v>8</v>
      </c>
      <c r="CB15" s="1155">
        <v>8</v>
      </c>
      <c r="CC15" s="1155">
        <v>8</v>
      </c>
      <c r="CD15" s="1155">
        <v>8</v>
      </c>
      <c r="CE15" s="1155">
        <v>8</v>
      </c>
      <c r="CF15" s="1155">
        <v>8</v>
      </c>
      <c r="CG15" s="1155">
        <v>8</v>
      </c>
      <c r="CH15" s="1155">
        <v>8</v>
      </c>
      <c r="CI15" s="1155">
        <v>8</v>
      </c>
      <c r="CJ15" s="1155">
        <v>8</v>
      </c>
      <c r="CK15" s="1155">
        <v>8</v>
      </c>
      <c r="CL15" s="1155">
        <v>8</v>
      </c>
      <c r="CM15" s="1155">
        <v>8</v>
      </c>
      <c r="CN15" s="1155">
        <v>8</v>
      </c>
      <c r="CO15" s="1155">
        <v>8</v>
      </c>
      <c r="CP15" s="1155">
        <v>8</v>
      </c>
      <c r="CQ15" s="1155">
        <v>8</v>
      </c>
      <c r="CR15" s="1155">
        <v>8</v>
      </c>
      <c r="CS15" s="1155">
        <v>8</v>
      </c>
      <c r="CT15" s="1155">
        <v>8</v>
      </c>
      <c r="CU15" s="1155">
        <v>8</v>
      </c>
      <c r="CV15" s="1155">
        <v>8</v>
      </c>
      <c r="CW15" s="1155">
        <v>8</v>
      </c>
      <c r="CX15" s="1155">
        <v>8</v>
      </c>
      <c r="CY15" s="1155">
        <v>8</v>
      </c>
      <c r="CZ15" s="1155">
        <v>8</v>
      </c>
      <c r="DA15" s="1155">
        <v>8</v>
      </c>
      <c r="DB15" s="1155">
        <v>8</v>
      </c>
      <c r="DC15" s="1155">
        <v>8</v>
      </c>
      <c r="DD15" s="1155">
        <v>8</v>
      </c>
      <c r="DE15" s="1155">
        <v>8</v>
      </c>
      <c r="DF15" s="1155">
        <v>8</v>
      </c>
      <c r="DG15" s="1155">
        <v>8</v>
      </c>
      <c r="DH15" s="1155">
        <v>8</v>
      </c>
      <c r="DI15" s="1155">
        <v>8</v>
      </c>
      <c r="DJ15" s="1155">
        <v>8</v>
      </c>
      <c r="DK15" s="1155">
        <v>8</v>
      </c>
      <c r="DL15" s="1155">
        <v>8</v>
      </c>
      <c r="DM15" s="1155">
        <v>8</v>
      </c>
      <c r="DN15" s="1155">
        <v>8</v>
      </c>
      <c r="DO15" s="1155">
        <v>8</v>
      </c>
      <c r="DP15" s="1155">
        <v>8</v>
      </c>
      <c r="DQ15" s="1155">
        <v>8</v>
      </c>
      <c r="DR15" s="1155">
        <v>8</v>
      </c>
      <c r="DS15" s="1155">
        <v>8</v>
      </c>
      <c r="DT15" s="1155">
        <v>8</v>
      </c>
      <c r="DU15" s="1155">
        <v>8</v>
      </c>
      <c r="DV15" s="1155">
        <v>8</v>
      </c>
      <c r="DW15" s="1155">
        <v>8</v>
      </c>
      <c r="DX15" s="1155">
        <v>8</v>
      </c>
      <c r="DY15" s="1155">
        <v>8</v>
      </c>
      <c r="DZ15" s="1155">
        <v>8</v>
      </c>
      <c r="EA15" s="1155">
        <v>8</v>
      </c>
      <c r="EB15" s="1155">
        <v>8</v>
      </c>
      <c r="EC15" s="1155">
        <v>8</v>
      </c>
      <c r="ED15" s="1155">
        <v>8</v>
      </c>
      <c r="EE15" s="1155">
        <v>8</v>
      </c>
      <c r="EF15" s="1155">
        <v>8</v>
      </c>
      <c r="EG15" s="1155">
        <v>8</v>
      </c>
      <c r="EH15" s="1155">
        <v>8</v>
      </c>
      <c r="EI15" s="1155">
        <v>8</v>
      </c>
      <c r="EJ15" s="1155">
        <v>8</v>
      </c>
      <c r="EK15" s="1155">
        <v>8</v>
      </c>
      <c r="EL15" s="1155">
        <v>8</v>
      </c>
      <c r="EM15" s="1155">
        <v>8</v>
      </c>
      <c r="EN15" s="1155">
        <v>8</v>
      </c>
      <c r="EO15" s="1155">
        <v>8</v>
      </c>
      <c r="EP15" s="1155">
        <v>8</v>
      </c>
      <c r="EQ15" s="1155">
        <v>8</v>
      </c>
      <c r="ER15" s="1155">
        <v>8</v>
      </c>
      <c r="ES15" s="1155">
        <v>8</v>
      </c>
      <c r="ET15" s="1155">
        <v>8</v>
      </c>
      <c r="EU15" s="1155">
        <v>8</v>
      </c>
      <c r="EV15" s="1155">
        <v>8</v>
      </c>
      <c r="EW15" s="1155">
        <v>8</v>
      </c>
      <c r="EX15" s="1155">
        <v>8</v>
      </c>
      <c r="EY15" s="1155">
        <v>8</v>
      </c>
      <c r="EZ15" s="1155">
        <v>8</v>
      </c>
      <c r="FA15" s="1155">
        <v>8</v>
      </c>
      <c r="FB15" s="1155">
        <v>8</v>
      </c>
      <c r="FC15" s="1155">
        <v>8</v>
      </c>
      <c r="FD15" s="1155">
        <v>8</v>
      </c>
      <c r="FE15" s="1155">
        <v>8</v>
      </c>
      <c r="FF15" s="1155">
        <v>8</v>
      </c>
      <c r="FG15" s="1155">
        <v>8</v>
      </c>
      <c r="FH15" s="1155">
        <v>8</v>
      </c>
      <c r="FI15" s="1155">
        <v>8</v>
      </c>
      <c r="FJ15" s="1155">
        <v>8</v>
      </c>
      <c r="FK15" s="1155">
        <v>8</v>
      </c>
      <c r="FL15" s="1155">
        <v>8</v>
      </c>
      <c r="FM15" s="1155">
        <v>8</v>
      </c>
      <c r="FN15" s="1155">
        <v>8</v>
      </c>
      <c r="FO15" s="1155">
        <v>8</v>
      </c>
      <c r="FP15" s="1155">
        <v>8</v>
      </c>
      <c r="FQ15" s="1155">
        <v>8</v>
      </c>
      <c r="FR15" s="1155">
        <v>8</v>
      </c>
      <c r="FS15" s="1155">
        <v>8</v>
      </c>
      <c r="FT15" s="1155">
        <v>8</v>
      </c>
      <c r="FU15" s="1155">
        <v>8</v>
      </c>
      <c r="FV15" s="1155">
        <v>8</v>
      </c>
      <c r="FW15" s="1155">
        <v>8</v>
      </c>
      <c r="FX15" s="1155">
        <v>8</v>
      </c>
      <c r="FY15" s="1155">
        <v>8</v>
      </c>
      <c r="FZ15" s="1155">
        <v>8</v>
      </c>
      <c r="GA15" s="1155">
        <v>8</v>
      </c>
      <c r="GB15" s="1155">
        <v>8</v>
      </c>
      <c r="GC15" s="1155">
        <v>8</v>
      </c>
      <c r="GD15" s="1155">
        <v>8</v>
      </c>
      <c r="GE15" s="1155">
        <v>8</v>
      </c>
      <c r="GF15" s="1155">
        <v>8</v>
      </c>
      <c r="GG15" s="1155">
        <v>8</v>
      </c>
      <c r="GH15" s="1155">
        <v>8</v>
      </c>
      <c r="GI15" s="1155">
        <v>8</v>
      </c>
      <c r="GJ15" s="1155">
        <v>8</v>
      </c>
      <c r="GK15" s="1155">
        <v>8</v>
      </c>
      <c r="GL15" s="1155">
        <v>8</v>
      </c>
      <c r="GM15" s="1155">
        <v>8</v>
      </c>
      <c r="GN15" s="1155">
        <v>8</v>
      </c>
      <c r="GO15" s="1155">
        <v>8</v>
      </c>
      <c r="GP15" s="1155">
        <v>8</v>
      </c>
      <c r="GQ15" s="1155">
        <v>8</v>
      </c>
      <c r="GR15" s="1155">
        <v>8</v>
      </c>
      <c r="GS15" s="1155">
        <v>8</v>
      </c>
      <c r="GT15" s="1155">
        <v>8</v>
      </c>
      <c r="GU15" s="1155">
        <v>8</v>
      </c>
      <c r="GV15" s="1155">
        <v>8</v>
      </c>
      <c r="GW15" s="1155">
        <v>8</v>
      </c>
      <c r="GX15" s="1155">
        <v>8</v>
      </c>
      <c r="GY15" s="1155">
        <v>8</v>
      </c>
      <c r="GZ15" s="1155">
        <v>8</v>
      </c>
      <c r="HA15" s="1155">
        <v>8</v>
      </c>
      <c r="HB15" s="1155">
        <v>8</v>
      </c>
      <c r="HC15" s="1155">
        <v>8</v>
      </c>
      <c r="HD15" s="1155">
        <v>8</v>
      </c>
      <c r="HE15" s="1155">
        <v>8</v>
      </c>
      <c r="HF15" s="1155">
        <v>8</v>
      </c>
      <c r="HG15" s="1155">
        <v>8</v>
      </c>
      <c r="HH15" s="1155">
        <v>8</v>
      </c>
      <c r="HI15" s="1155">
        <v>8</v>
      </c>
      <c r="HJ15" s="1155">
        <v>8</v>
      </c>
      <c r="HK15" s="1155">
        <v>8</v>
      </c>
      <c r="HL15" s="1155">
        <v>8</v>
      </c>
      <c r="HM15" s="1155">
        <v>8</v>
      </c>
      <c r="HN15" s="1155">
        <v>8</v>
      </c>
      <c r="HO15" s="1155">
        <v>8</v>
      </c>
      <c r="HP15" s="1155">
        <v>8</v>
      </c>
      <c r="HQ15" s="1155">
        <v>8</v>
      </c>
      <c r="HR15" s="1155">
        <v>8</v>
      </c>
      <c r="HS15" s="1155">
        <v>8</v>
      </c>
      <c r="HT15" s="1155">
        <v>8</v>
      </c>
      <c r="HU15" s="1155">
        <v>8</v>
      </c>
      <c r="HV15" s="1155">
        <v>8</v>
      </c>
      <c r="HW15" s="1155">
        <v>8</v>
      </c>
      <c r="HX15" s="1155">
        <v>8</v>
      </c>
      <c r="HY15" s="1155">
        <v>8</v>
      </c>
      <c r="HZ15" s="1155">
        <v>8</v>
      </c>
      <c r="IA15" s="1155">
        <v>8</v>
      </c>
      <c r="IB15" s="1155">
        <v>8</v>
      </c>
      <c r="IC15" s="1155">
        <v>8</v>
      </c>
      <c r="ID15" s="1155">
        <v>8</v>
      </c>
      <c r="IE15" s="1155">
        <v>8</v>
      </c>
      <c r="IF15" s="1155">
        <v>8</v>
      </c>
      <c r="IG15" s="1155">
        <v>8</v>
      </c>
      <c r="IH15" s="1155">
        <v>8</v>
      </c>
      <c r="II15" s="1155">
        <v>8</v>
      </c>
      <c r="IJ15" s="1155">
        <v>8</v>
      </c>
      <c r="IK15" s="1155">
        <v>8</v>
      </c>
      <c r="IL15" s="1155">
        <v>8</v>
      </c>
      <c r="IM15" s="1155">
        <v>8</v>
      </c>
      <c r="IN15" s="1155">
        <v>8</v>
      </c>
      <c r="IO15" s="1155">
        <v>8</v>
      </c>
      <c r="IP15" s="1155">
        <v>8</v>
      </c>
      <c r="IQ15" s="1155">
        <v>8</v>
      </c>
      <c r="IR15" s="1155">
        <v>8</v>
      </c>
      <c r="IS15" s="1155">
        <v>8</v>
      </c>
      <c r="IT15" s="1155">
        <v>8</v>
      </c>
      <c r="IU15" s="1155">
        <v>8</v>
      </c>
      <c r="IV15" s="1155">
        <v>8</v>
      </c>
      <c r="IW15" s="1155">
        <v>23</v>
      </c>
    </row>
  </sheetData>
  <sheetProtection formatColumns="0" formatRows="0" autoFilter="0" sort="0" insertRows="0" insertColumns="1" deleteRows="0" deleteColumns="0"/>
  <mergeCells count="10">
    <mergeCell ref="L7:L9"/>
    <mergeCell ref="E7:K7"/>
    <mergeCell ref="A10:A11"/>
    <mergeCell ref="L10:L11"/>
    <mergeCell ref="E5:K5"/>
    <mergeCell ref="F8:F9"/>
    <mergeCell ref="E8:E9"/>
    <mergeCell ref="G8:I8"/>
    <mergeCell ref="J8:J9"/>
    <mergeCell ref="K8:K9"/>
  </mergeCells>
  <dataValidations count="5">
    <dataValidation type="textLength" allowBlank="1" showInputMessage="1" showErrorMessage="1" sqref="H3:I3">
      <formula1>13</formula1>
      <formula2>15</formula2>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2:G3 G10"/>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J10:K10 J2:K3">
      <formula1>900</formula1>
    </dataValidation>
    <dataValidation type="time" allowBlank="1" showInputMessage="1" showErrorMessage="1" prompt="Укажите время в формате ЧЧ:ММ" sqref="H10 H2">
      <formula1>0</formula1>
      <formula2>0.9993055555555556</formula2>
    </dataValidation>
    <dataValidation type="textLength" operator="lessThanOrEqual" allowBlank="1" showInputMessage="1" showErrorMessage="1" sqref="I10 I2">
      <formula1>990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7117536-3181-2748-5DBE-65BF642BB4D9}" mc:Ignorable="x14ac xr xr2 xr3">
  <dimension ref="A1:IW15"/>
  <sheetViews>
    <sheetView showGridLines="0" zoomScale="90" workbookViewId="0">
      <pane xSplit="6" ySplit="9" topLeftCell="G10" activePane="bottomRight" state="frozen"/>
      <selection pane="bottomLeft" activeCell="A10" sqref="A10"/>
      <selection pane="topRight" activeCell="G1" sqref="G1"/>
      <selection pane="bottomRight" activeCell="A1" sqref="A1"/>
    </sheetView>
  </sheetViews>
  <sheetFormatPr defaultColWidth="9.140625" customHeight="1" defaultRowHeight="14.25"/>
  <cols>
    <col min="1" max="1" style="1635" width="9.140625" hidden="1"/>
    <col min="2" max="2" style="1366" width="9.140625" hidden="1"/>
    <col min="3" max="3" style="1635" width="3.7109375" hidden="1" customWidth="1"/>
    <col min="4" max="4" style="1842" width="3.00390625" customWidth="1"/>
    <col min="5" max="5" style="1635" width="6.00390625" customWidth="1"/>
    <col min="6" max="6" style="1635" width="27.00390625" customWidth="1"/>
    <col min="7" max="7" style="1635" width="16.00390625" customWidth="1"/>
    <col min="8" max="8" style="1635" width="12.00390625" customWidth="1"/>
    <col min="9" max="9" style="1635" width="32.00390625" customWidth="1"/>
    <col min="10" max="11" style="1635" width="41.00390625" customWidth="1"/>
    <col min="12" max="12" style="1635" width="89.00390625" customWidth="1"/>
    <col min="13" max="13" style="1624" width="3.00390625" customWidth="1"/>
    <col min="14" max="16" style="1624" width="8.00390625" customWidth="1"/>
    <col min="17" max="17" style="1624" width="25.00390625" customWidth="1"/>
    <col min="18" max="18" style="1624" width="14.00390625" customWidth="1"/>
    <col min="19" max="22" style="225" width="8.00390625" customWidth="1"/>
    <col min="23" max="256" style="1635" width="8.00390625" customWidth="1"/>
    <col min="257" max="257" style="1635" width="9.140625" hidden="1"/>
  </cols>
  <sheetData>
    <row customHeight="1" ht="22.5" hidden="1">
      <c r="IW1" s="1631" t="s">
        <v>14</v>
      </c>
    </row>
    <row s="1850" customFormat="1" customHeight="1" ht="22.5" hidden="1">
      <c r="A2" s="831"/>
      <c r="B2" s="1366">
        <v>1</v>
      </c>
      <c r="C2" s="1366"/>
      <c r="D2" s="1928" t="s">
        <v>122</v>
      </c>
      <c r="E2" s="1904"/>
      <c r="F2" s="1906" t="str">
        <f>IF(ROIV_INFO_NAME="","",ROIV_INFO_NAME)</f>
        <v>ПАО "ОГК-2"</v>
      </c>
      <c r="G2" s="1732" t="s">
        <v>22</v>
      </c>
      <c r="H2" s="1916"/>
      <c r="I2" s="1538"/>
      <c r="J2" s="818"/>
      <c r="K2" s="818"/>
      <c r="L2" s="228"/>
      <c r="M2" s="1535">
        <f>MERGEVALUE(F2)</f>
      </c>
      <c r="N2" s="1636"/>
      <c r="O2" s="1636"/>
      <c r="P2" s="1624" t="str">
        <f t="array" ref="P2:P2">IF(ISERROR(MATCH(MID(Q2,1,250),MID(note_ter,1,250),0)),"n","y")</f>
        <v>n</v>
      </c>
      <c r="Q2" s="1636"/>
      <c r="R2" s="1624" t="str">
        <f>G2&amp;"("&amp;L2&amp;")"</f>
        <v>()</v>
      </c>
      <c r="S2" s="1366"/>
      <c r="T2" s="1366"/>
      <c r="U2" s="420"/>
      <c r="V2" s="1366"/>
      <c r="W2" s="1366"/>
      <c r="X2" s="1366"/>
      <c r="Y2" s="833"/>
      <c r="Z2" s="833"/>
      <c r="AA2" s="627"/>
      <c r="AB2" s="627"/>
      <c r="AC2" s="627"/>
      <c r="AD2" s="627"/>
      <c r="AE2" s="627"/>
      <c r="AF2" s="627"/>
      <c r="AG2" s="627"/>
      <c r="AH2" s="627"/>
      <c r="AI2" s="627"/>
      <c r="AJ2" s="627"/>
      <c r="AK2" s="627"/>
      <c r="AL2" s="627"/>
      <c r="AM2" s="627"/>
      <c r="AN2" s="627"/>
      <c r="AO2" s="627"/>
      <c r="AP2" s="627"/>
      <c r="AQ2" s="627"/>
      <c r="AR2" s="627"/>
      <c r="AS2" s="627"/>
      <c r="AT2" s="627"/>
      <c r="AU2" s="627"/>
      <c r="AV2" s="627"/>
      <c r="AW2" s="627"/>
      <c r="AX2" s="627"/>
      <c r="AY2" s="627"/>
      <c r="AZ2" s="627"/>
      <c r="BA2" s="627"/>
      <c r="BB2" s="627"/>
      <c r="BC2" s="627"/>
      <c r="BD2" s="627"/>
      <c r="BE2" s="627"/>
      <c r="BF2" s="627"/>
      <c r="BG2" s="627"/>
      <c r="BH2" s="627"/>
      <c r="BI2" s="627"/>
      <c r="BJ2" s="627"/>
      <c r="BK2" s="627"/>
      <c r="BL2" s="627"/>
      <c r="BM2" s="627"/>
      <c r="BN2" s="627"/>
      <c r="BO2" s="627"/>
      <c r="BP2" s="627"/>
      <c r="BQ2" s="627"/>
      <c r="BR2" s="627"/>
      <c r="BS2" s="627"/>
      <c r="BT2" s="627"/>
      <c r="BU2" s="627"/>
      <c r="BV2" s="833"/>
      <c r="BW2" s="833"/>
      <c r="BX2" s="833"/>
      <c r="BY2" s="833"/>
      <c r="BZ2" s="833"/>
      <c r="CA2" s="833"/>
      <c r="CB2" s="833"/>
      <c r="CC2" s="833"/>
      <c r="CD2" s="833"/>
      <c r="CE2" s="833"/>
      <c r="IW2" s="624">
        <v>0</v>
      </c>
    </row>
    <row s="1642" customFormat="1" customHeight="1" ht="5.25" hidden="1">
      <c r="A3" s="1641"/>
      <c r="D3" s="1893"/>
      <c r="F3" s="248" t="s">
        <v>83</v>
      </c>
      <c r="G3" s="1735" t="s">
        <v>84</v>
      </c>
      <c r="H3" s="1893"/>
      <c r="I3" s="1893"/>
      <c r="J3" s="1893"/>
      <c r="K3" s="1893"/>
      <c r="L3" s="227" t="s">
        <v>85</v>
      </c>
      <c r="M3" s="248" t="s">
        <v>83</v>
      </c>
      <c r="N3" s="248"/>
      <c r="O3" s="248"/>
      <c r="P3" s="248"/>
      <c r="Q3" s="248"/>
      <c r="R3" s="248"/>
      <c r="S3" s="248"/>
      <c r="T3" s="248"/>
      <c r="U3" s="248"/>
      <c r="V3" s="248"/>
      <c r="W3" s="227"/>
      <c r="X3" s="227"/>
      <c r="Y3" s="227"/>
      <c r="Z3" s="227"/>
      <c r="AA3" s="227"/>
      <c r="AB3" s="227"/>
      <c r="AC3" s="227"/>
      <c r="AD3" s="227"/>
      <c r="AE3" s="227"/>
      <c r="AF3" s="227"/>
      <c r="AG3" s="227"/>
      <c r="AH3" s="227"/>
      <c r="AI3" s="227"/>
      <c r="AJ3" s="227"/>
      <c r="AK3" s="227"/>
      <c r="AL3" s="227"/>
      <c r="AM3" s="227"/>
      <c r="AN3" s="227"/>
      <c r="AO3" s="227"/>
      <c r="AP3" s="227"/>
      <c r="AQ3" s="227"/>
      <c r="AR3" s="227"/>
      <c r="AS3" s="227"/>
      <c r="AT3" s="227"/>
      <c r="AU3" s="227"/>
      <c r="AV3" s="227"/>
      <c r="AW3" s="227"/>
      <c r="AX3" s="227"/>
      <c r="AY3" s="227"/>
      <c r="AZ3" s="227"/>
      <c r="BA3" s="227"/>
      <c r="BB3" s="227"/>
      <c r="BC3" s="227"/>
      <c r="BD3" s="227"/>
      <c r="BE3" s="227"/>
      <c r="BF3" s="227"/>
      <c r="BG3" s="227"/>
      <c r="BH3" s="227"/>
      <c r="BI3" s="227"/>
      <c r="BJ3" s="227"/>
      <c r="BK3" s="227"/>
      <c r="BL3" s="227"/>
      <c r="BM3" s="227"/>
      <c r="BN3" s="227"/>
      <c r="BO3" s="227"/>
      <c r="BP3" s="227"/>
      <c r="BQ3" s="227"/>
      <c r="BR3" s="227"/>
      <c r="BS3" s="227"/>
      <c r="BT3" s="227"/>
      <c r="BU3" s="227"/>
      <c r="BV3" s="227"/>
      <c r="BW3" s="227"/>
      <c r="BX3" s="227"/>
      <c r="BY3" s="227"/>
      <c r="BZ3" s="227"/>
      <c r="CA3" s="227"/>
      <c r="CB3" s="227"/>
      <c r="CC3" s="227"/>
      <c r="CD3" s="227"/>
      <c r="CE3" s="227"/>
      <c r="CF3" s="227"/>
      <c r="CG3" s="227"/>
      <c r="CH3" s="227"/>
      <c r="CI3" s="227"/>
      <c r="CJ3" s="227"/>
      <c r="CK3" s="227"/>
      <c r="CL3" s="227"/>
      <c r="CM3" s="227"/>
      <c r="CN3" s="227"/>
      <c r="CO3" s="227"/>
      <c r="CP3" s="227"/>
      <c r="CQ3" s="227"/>
      <c r="CR3" s="227"/>
      <c r="CS3" s="227"/>
      <c r="CT3" s="227"/>
      <c r="CU3" s="227"/>
      <c r="CV3" s="227"/>
      <c r="CW3" s="227"/>
      <c r="CX3" s="227"/>
      <c r="CY3" s="227"/>
      <c r="CZ3" s="227"/>
      <c r="DA3" s="227"/>
      <c r="DB3" s="227"/>
      <c r="DC3" s="227"/>
      <c r="DD3" s="227"/>
      <c r="DE3" s="227"/>
      <c r="DF3" s="227"/>
      <c r="DG3" s="227"/>
      <c r="DH3" s="227"/>
      <c r="DI3" s="227"/>
      <c r="DJ3" s="227"/>
      <c r="DK3" s="227"/>
      <c r="DL3" s="227"/>
      <c r="DM3" s="227"/>
      <c r="DN3" s="227"/>
      <c r="DO3" s="227"/>
      <c r="DP3" s="227"/>
      <c r="DQ3" s="227"/>
      <c r="DR3" s="227"/>
      <c r="DS3" s="227"/>
      <c r="DT3" s="227"/>
      <c r="DU3" s="227"/>
      <c r="DV3" s="227"/>
      <c r="DW3" s="227"/>
      <c r="DX3" s="227"/>
      <c r="DY3" s="227"/>
      <c r="DZ3" s="227"/>
      <c r="EA3" s="227"/>
      <c r="EB3" s="227"/>
      <c r="EC3" s="227"/>
      <c r="ED3" s="227"/>
      <c r="EE3" s="227"/>
      <c r="EF3" s="227"/>
      <c r="EG3" s="227"/>
      <c r="EH3" s="227"/>
      <c r="EI3" s="227"/>
      <c r="EJ3" s="227"/>
      <c r="EK3" s="227"/>
      <c r="EL3" s="227"/>
      <c r="EM3" s="227"/>
      <c r="EN3" s="227"/>
      <c r="EO3" s="227"/>
      <c r="EP3" s="227"/>
      <c r="EQ3" s="227"/>
      <c r="ER3" s="227"/>
      <c r="ES3" s="227"/>
      <c r="ET3" s="227"/>
      <c r="EU3" s="227"/>
      <c r="EV3" s="227"/>
      <c r="EW3" s="227"/>
      <c r="EX3" s="227"/>
      <c r="EY3" s="227"/>
      <c r="EZ3" s="227"/>
      <c r="FA3" s="227"/>
      <c r="FB3" s="227"/>
      <c r="FC3" s="227"/>
      <c r="FD3" s="227"/>
      <c r="FE3" s="227"/>
      <c r="FF3" s="227"/>
      <c r="FG3" s="227"/>
      <c r="FH3" s="227"/>
      <c r="FI3" s="227"/>
      <c r="FJ3" s="227"/>
      <c r="FK3" s="227"/>
      <c r="FL3" s="227"/>
      <c r="FM3" s="227"/>
      <c r="FN3" s="227"/>
      <c r="FO3" s="227"/>
      <c r="FP3" s="227"/>
      <c r="FQ3" s="227"/>
      <c r="FR3" s="227"/>
      <c r="FS3" s="227"/>
      <c r="FT3" s="227"/>
      <c r="FU3" s="227"/>
      <c r="FV3" s="227"/>
      <c r="FW3" s="227"/>
      <c r="FX3" s="227"/>
      <c r="FY3" s="227"/>
      <c r="FZ3" s="227"/>
      <c r="GA3" s="227"/>
      <c r="GB3" s="227"/>
      <c r="GC3" s="227"/>
      <c r="GD3" s="227"/>
      <c r="GE3" s="227"/>
      <c r="GF3" s="227"/>
      <c r="GG3" s="227"/>
      <c r="GH3" s="227"/>
      <c r="GI3" s="227"/>
      <c r="GJ3" s="227"/>
      <c r="GK3" s="227"/>
      <c r="GL3" s="227"/>
      <c r="GM3" s="227"/>
      <c r="GN3" s="227"/>
      <c r="GO3" s="227"/>
      <c r="GP3" s="227"/>
      <c r="GQ3" s="227"/>
      <c r="GR3" s="227"/>
      <c r="GS3" s="227"/>
      <c r="GT3" s="227"/>
      <c r="GU3" s="227"/>
      <c r="GV3" s="227"/>
      <c r="GW3" s="227"/>
      <c r="GX3" s="227"/>
      <c r="GY3" s="227"/>
      <c r="GZ3" s="227"/>
      <c r="HA3" s="227"/>
      <c r="HB3" s="227"/>
      <c r="HC3" s="227"/>
      <c r="HD3" s="227"/>
      <c r="HE3" s="227"/>
      <c r="HF3" s="227"/>
      <c r="HG3" s="227"/>
      <c r="HH3" s="227"/>
      <c r="HI3" s="227"/>
      <c r="HJ3" s="227"/>
      <c r="HK3" s="227"/>
      <c r="HL3" s="227"/>
      <c r="HM3" s="227"/>
      <c r="HN3" s="227"/>
      <c r="HO3" s="227"/>
      <c r="HP3" s="227"/>
      <c r="HQ3" s="227"/>
      <c r="HR3" s="227"/>
      <c r="HS3" s="227"/>
      <c r="HT3" s="227"/>
      <c r="HU3" s="227"/>
      <c r="HV3" s="227"/>
      <c r="HW3" s="227"/>
      <c r="HX3" s="227"/>
      <c r="HY3" s="227"/>
      <c r="HZ3" s="227"/>
      <c r="IA3" s="227"/>
      <c r="IB3" s="227"/>
      <c r="IC3" s="227"/>
      <c r="ID3" s="227"/>
      <c r="IE3" s="227"/>
      <c r="IF3" s="227"/>
      <c r="IG3" s="227"/>
      <c r="IH3" s="227"/>
      <c r="II3" s="227"/>
      <c r="IJ3" s="227"/>
      <c r="IK3" s="227"/>
      <c r="IL3" s="227"/>
      <c r="IM3" s="227"/>
      <c r="IN3" s="227"/>
      <c r="IO3" s="227"/>
      <c r="IP3" s="227"/>
      <c r="IQ3" s="227"/>
      <c r="IR3" s="227"/>
      <c r="IS3" s="227"/>
      <c r="IT3" s="227"/>
      <c r="IU3" s="227"/>
      <c r="IV3" s="227"/>
      <c r="IW3" s="1636">
        <v>0</v>
      </c>
    </row>
    <row s="1819" customFormat="1" customHeight="1" ht="14.699999999999998">
      <c r="A4" s="1631"/>
      <c r="B4" s="1366"/>
      <c r="C4" s="1631"/>
      <c r="D4" s="1515"/>
      <c r="E4" s="1635"/>
      <c r="F4" s="1635"/>
      <c r="G4" s="1635"/>
      <c r="H4" s="1635"/>
      <c r="I4" s="1635"/>
      <c r="J4" s="1635"/>
      <c r="K4" s="1635"/>
      <c r="L4" s="1895"/>
      <c r="M4" s="248"/>
      <c r="N4" s="1624"/>
      <c r="O4" s="1624"/>
      <c r="P4" s="1624"/>
      <c r="Q4" s="1624"/>
      <c r="R4" s="1624"/>
      <c r="S4" s="225"/>
      <c r="T4" s="225"/>
      <c r="U4" s="225"/>
      <c r="V4" s="225"/>
      <c r="IW4" s="1609">
        <v>14</v>
      </c>
    </row>
    <row s="1819" customFormat="1" customHeight="1" ht="27.299999999999997">
      <c r="A5" s="1631"/>
      <c r="B5" s="1366"/>
      <c r="C5" s="1631"/>
      <c r="D5" s="1515"/>
      <c r="E5" s="2100" t="str">
        <f>"Форма "&amp;IF(TEMPLATE_SPHERE="HEAT","4","3")&amp;". Информация о рассмотрении дел об установлении "&amp;IF(TEMPLATE_SPHERE="TKO","предельных тарифов","тарифов в сфере "&amp;TEMPLATE_SPHERE_RUS)</f>
        <v>Форма 4. Информация о рассмотрении дел об установлении тарифов в сфере теплоснабжения</v>
      </c>
      <c r="F5" s="2100"/>
      <c r="G5" s="2100"/>
      <c r="H5" s="2100"/>
      <c r="I5" s="2100"/>
      <c r="J5" s="2100"/>
      <c r="K5" s="2100"/>
      <c r="L5" s="1635"/>
      <c r="M5" s="248"/>
      <c r="N5" s="1624"/>
      <c r="O5" s="1624"/>
      <c r="P5" s="1624"/>
      <c r="Q5" s="1624"/>
      <c r="R5" s="1624"/>
      <c r="S5" s="225"/>
      <c r="T5" s="225"/>
      <c r="U5" s="225"/>
      <c r="V5" s="225"/>
      <c r="IW5" s="1609">
        <v>26</v>
      </c>
    </row>
    <row s="1819" customFormat="1" customHeight="1" ht="14.699999999999998">
      <c r="A6" s="1631"/>
      <c r="B6" s="1366"/>
      <c r="C6" s="1631"/>
      <c r="D6" s="1515"/>
      <c r="E6" s="1635"/>
      <c r="F6" s="616"/>
      <c r="G6" s="616"/>
      <c r="H6" s="616"/>
      <c r="I6" s="616"/>
      <c r="J6" s="616"/>
      <c r="K6" s="616"/>
      <c r="L6" s="1252"/>
      <c r="M6" s="1624"/>
      <c r="N6" s="1624"/>
      <c r="O6" s="1624"/>
      <c r="P6" s="1624"/>
      <c r="Q6" s="1624"/>
      <c r="R6" s="1624"/>
      <c r="S6" s="225"/>
      <c r="T6" s="225"/>
      <c r="U6" s="225"/>
      <c r="V6" s="225"/>
      <c r="IW6" s="1609">
        <v>14</v>
      </c>
    </row>
    <row s="1819" customFormat="1" customHeight="1" ht="14.699999999999998">
      <c r="A7" s="1631"/>
      <c r="B7" s="1366"/>
      <c r="C7" s="1631"/>
      <c r="D7" s="1515"/>
      <c r="E7" s="2101" t="s">
        <v>302</v>
      </c>
      <c r="F7" s="2102"/>
      <c r="G7" s="2102"/>
      <c r="H7" s="2102"/>
      <c r="I7" s="2102"/>
      <c r="J7" s="2102"/>
      <c r="K7" s="2102"/>
      <c r="L7" s="2474" t="s">
        <v>303</v>
      </c>
      <c r="M7" s="1624"/>
      <c r="N7" s="1624"/>
      <c r="O7" s="1624"/>
      <c r="P7" s="1624"/>
      <c r="Q7" s="1624"/>
      <c r="R7" s="1624"/>
      <c r="S7" s="225"/>
      <c r="T7" s="225"/>
      <c r="U7" s="225"/>
      <c r="V7" s="225"/>
      <c r="IW7" s="1609">
        <v>14</v>
      </c>
    </row>
    <row s="1819" customFormat="1" customHeight="1" ht="67.2">
      <c r="A8" s="1631"/>
      <c r="B8" s="1366"/>
      <c r="C8" s="1631"/>
      <c r="D8" s="1515"/>
      <c r="E8" s="2478" t="s">
        <v>88</v>
      </c>
      <c r="F8" s="2478" t="s">
        <v>1878</v>
      </c>
      <c r="G8" s="2480" t="s">
        <v>1879</v>
      </c>
      <c r="H8" s="2481"/>
      <c r="I8" s="2482"/>
      <c r="J8" s="2478" t="s">
        <v>1880</v>
      </c>
      <c r="K8" s="2478" t="str">
        <f>"Протокол заседания правления (коллегии) "&amp;IF(TEMPLATE_SPHERE="TKO","регионального органа регулирования (органа местного самоуправления)","органа "&amp;IF(TEMPLATE_SPHERE="HEAT","тарифного регулирования","регулирования тарифов"))&amp;", оформленный в соответствии "&amp;IF(TEMPLATE_SPHERE="HEAT","с законодательством Российской Федерации",IF(TEMPLATE_SPHERE="TKO","с требованиями, установленными Правилами регулирования тарифов в сфере обращения с твердыми коммунальными отходами, утвержденными постановлением Правительства Российской Федерации от 30 мая 2016 г. N 484","с требованиями, установленными Правилами регулирования тарифов в сфере водоснабжения и водоотведения, утвержденными постановлением Правительства Российской Федерации от 13 мая 2013 г. № 406"))</f>
        <v>Протокол заседания правления (коллегии) органа тарифного регулирования, оформленный в соответствии с законодательством Российской Федерации</v>
      </c>
      <c r="L8" s="2476"/>
      <c r="M8" s="1624"/>
      <c r="N8" s="1624"/>
      <c r="O8" s="1624"/>
      <c r="P8" s="1624"/>
      <c r="Q8" s="1624"/>
      <c r="R8" s="1624"/>
      <c r="S8" s="225"/>
      <c r="T8" s="225"/>
      <c r="U8" s="225"/>
      <c r="V8" s="225"/>
      <c r="IW8" s="1609">
        <v>64</v>
      </c>
    </row>
    <row s="1819" customFormat="1" customHeight="1" ht="29.25">
      <c r="A9" s="1631"/>
      <c r="B9" s="1366"/>
      <c r="C9" s="1631"/>
      <c r="D9" s="1515"/>
      <c r="E9" s="2479"/>
      <c r="F9" s="2479"/>
      <c r="G9" s="1894" t="s">
        <v>1874</v>
      </c>
      <c r="H9" s="1894" t="s">
        <v>1875</v>
      </c>
      <c r="I9" s="1894" t="s">
        <v>1876</v>
      </c>
      <c r="J9" s="2479"/>
      <c r="K9" s="2479"/>
      <c r="L9" s="2475"/>
      <c r="M9" s="1624"/>
      <c r="N9" s="1624"/>
      <c r="O9" s="1624"/>
      <c r="P9" s="1624"/>
      <c r="Q9" s="1624"/>
      <c r="R9" s="1624"/>
      <c r="S9" s="225"/>
      <c r="T9" s="225"/>
      <c r="U9" s="225"/>
      <c r="V9" s="225"/>
      <c r="IW9" s="1609">
        <v>28</v>
      </c>
    </row>
    <row s="1850" customFormat="1" customHeight="1" ht="1.05">
      <c r="A10" s="2099"/>
      <c r="B10" s="1366">
        <v>1</v>
      </c>
      <c r="C10" s="1366"/>
      <c r="D10" s="800"/>
      <c r="E10" s="795">
        <v>0</v>
      </c>
      <c r="F10" s="1891" t="str">
        <f>IF(ROIV_INFO_NAME="","",ROIV_INFO_NAME)</f>
        <v>ПАО "ОГК-2"</v>
      </c>
      <c r="G10" s="1733" t="s">
        <v>22</v>
      </c>
      <c r="H10" s="1903"/>
      <c r="I10" s="1903"/>
      <c r="J10" s="519"/>
      <c r="K10" s="519"/>
      <c r="L10" s="2432" t="str">
        <f>"В поле «"&amp;F8&amp;"»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образован."&amp;"
В поле «дата» указывается дата в виде «ДД.ММ.ГГГГ».
В поле «место» указывается адрес места проведения заседания (коллегии).
В полях «"&amp;MID(J8,1,40)&amp;"… » и «"&amp;MID(K8,1,40)&amp;"…» указываются ссылка на документ, предварительно загруженный в хранилище файлов ФГИС ЕИАС."</f>
        <v>В поле «Наименование органа тарифного регулирования»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тарифного регулирования… » и «Протокол заседания правления (коллегии) …» указываются ссылка на документ, предварительно загруженный в хранилище файлов ФГИС ЕИАС.</v>
      </c>
      <c r="M10" s="1535">
        <f>MERGEVALUE(F10)</f>
      </c>
      <c r="N10" s="1636"/>
      <c r="O10" s="1636"/>
      <c r="P10" s="1624" t="str">
        <f t="array" ref="P10:P10">IF(ISERROR(MATCH(MID(Q10,1,250),MID(note_ter,1,250),0)),"n","y")</f>
        <v>n</v>
      </c>
      <c r="Q10" s="1636"/>
      <c r="R10" s="1624" t="str">
        <f>G10&amp;"("&amp;L10&amp;")"</f>
        <v>(В поле «Наименование органа тарифного регулирования»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тарифного регулирования… » и «Протокол заседания правления (коллегии) …» указываются ссылка на документ, предварительно загруженный в хранилище файлов ФГИС ЕИАС.)</v>
      </c>
      <c r="S10" s="1366"/>
      <c r="T10" s="1366"/>
      <c r="U10" s="420"/>
      <c r="V10" s="1366"/>
      <c r="W10" s="1366"/>
      <c r="X10" s="1366"/>
      <c r="Y10" s="833"/>
      <c r="Z10" s="833"/>
      <c r="AA10" s="627"/>
      <c r="AB10" s="627"/>
      <c r="AC10" s="627"/>
      <c r="AD10" s="627"/>
      <c r="AE10" s="627"/>
      <c r="AF10" s="627"/>
      <c r="AG10" s="627"/>
      <c r="AH10" s="627"/>
      <c r="AI10" s="627"/>
      <c r="AJ10" s="627"/>
      <c r="AK10" s="627"/>
      <c r="AL10" s="627"/>
      <c r="AM10" s="627"/>
      <c r="AN10" s="627"/>
      <c r="AO10" s="627"/>
      <c r="AP10" s="627"/>
      <c r="AQ10" s="627"/>
      <c r="AR10" s="627"/>
      <c r="AS10" s="627"/>
      <c r="AT10" s="627"/>
      <c r="AU10" s="627"/>
      <c r="AV10" s="627"/>
      <c r="AW10" s="627"/>
      <c r="AX10" s="627"/>
      <c r="AY10" s="627"/>
      <c r="AZ10" s="627"/>
      <c r="BA10" s="627"/>
      <c r="BB10" s="627"/>
      <c r="BC10" s="627"/>
      <c r="BD10" s="627"/>
      <c r="BE10" s="627"/>
      <c r="BF10" s="627"/>
      <c r="BG10" s="627"/>
      <c r="BH10" s="627"/>
      <c r="BI10" s="627"/>
      <c r="BJ10" s="627"/>
      <c r="BK10" s="627"/>
      <c r="BL10" s="627"/>
      <c r="BM10" s="627"/>
      <c r="BN10" s="627"/>
      <c r="BO10" s="627"/>
      <c r="BP10" s="627"/>
      <c r="BQ10" s="627"/>
      <c r="BR10" s="627"/>
      <c r="BS10" s="627"/>
      <c r="BT10" s="627"/>
      <c r="BU10" s="627"/>
      <c r="BV10" s="833"/>
      <c r="BW10" s="833"/>
      <c r="BX10" s="833"/>
      <c r="BY10" s="833"/>
      <c r="BZ10" s="833"/>
      <c r="CA10" s="833"/>
      <c r="CB10" s="833"/>
      <c r="CC10" s="833"/>
      <c r="CD10" s="833"/>
      <c r="CE10" s="833"/>
      <c r="IW10" s="624">
        <v>1</v>
      </c>
    </row>
    <row s="1850" customFormat="1" customHeight="1" ht="15.75">
      <c r="A11" s="2099"/>
      <c r="B11" s="1366"/>
      <c r="C11" s="412"/>
      <c r="D11" s="801"/>
      <c r="E11" s="421"/>
      <c r="F11" s="651" t="s">
        <v>1877</v>
      </c>
      <c r="G11" s="187"/>
      <c r="H11" s="187"/>
      <c r="I11" s="187"/>
      <c r="J11" s="187"/>
      <c r="K11" s="424"/>
      <c r="L11" s="2477"/>
      <c r="M11" s="1536"/>
      <c r="N11" s="1636"/>
      <c r="O11" s="1636"/>
      <c r="P11" s="1636"/>
      <c r="Q11" s="1624"/>
      <c r="R11" s="1636"/>
      <c r="S11" s="1366"/>
      <c r="T11" s="1366"/>
      <c r="U11" s="420"/>
      <c r="V11" s="1366"/>
      <c r="W11" s="1366"/>
      <c r="X11" s="1366"/>
      <c r="Y11" s="833"/>
      <c r="Z11" s="833"/>
      <c r="AA11" s="627"/>
      <c r="AB11" s="627"/>
      <c r="AC11" s="627"/>
      <c r="AD11" s="627"/>
      <c r="AE11" s="627"/>
      <c r="AF11" s="627"/>
      <c r="AG11" s="627"/>
      <c r="AH11" s="627"/>
      <c r="AI11" s="627"/>
      <c r="AJ11" s="627"/>
      <c r="AK11" s="627"/>
      <c r="AL11" s="627"/>
      <c r="AM11" s="627"/>
      <c r="AN11" s="627"/>
      <c r="AO11" s="627"/>
      <c r="AP11" s="627"/>
      <c r="AQ11" s="627"/>
      <c r="AR11" s="627"/>
      <c r="AS11" s="627"/>
      <c r="AT11" s="627"/>
      <c r="AU11" s="627"/>
      <c r="AV11" s="627"/>
      <c r="AW11" s="627"/>
      <c r="AX11" s="627"/>
      <c r="AY11" s="627"/>
      <c r="AZ11" s="627"/>
      <c r="BA11" s="627"/>
      <c r="BB11" s="627"/>
      <c r="BC11" s="627"/>
      <c r="BD11" s="627"/>
      <c r="BE11" s="627"/>
      <c r="BF11" s="627"/>
      <c r="BG11" s="627"/>
      <c r="BH11" s="627"/>
      <c r="BI11" s="627"/>
      <c r="BJ11" s="627"/>
      <c r="BK11" s="627"/>
      <c r="BL11" s="627"/>
      <c r="BM11" s="627"/>
      <c r="BN11" s="627"/>
      <c r="BO11" s="627"/>
      <c r="BP11" s="627"/>
      <c r="BQ11" s="627"/>
      <c r="BR11" s="627"/>
      <c r="BS11" s="627"/>
      <c r="BT11" s="627"/>
      <c r="BU11" s="627"/>
      <c r="BV11" s="833"/>
      <c r="BW11" s="833"/>
      <c r="BX11" s="833"/>
      <c r="BY11" s="833"/>
      <c r="BZ11" s="833"/>
      <c r="CA11" s="833"/>
      <c r="CB11" s="833"/>
      <c r="CC11" s="833"/>
      <c r="CD11" s="833"/>
      <c r="CE11" s="833"/>
      <c r="IW11" s="624">
        <v>15</v>
      </c>
    </row>
    <row s="1819" customFormat="1" customHeight="1" ht="22.049999999999997">
      <c r="A12" s="1631"/>
      <c r="B12" s="1366"/>
      <c r="C12" s="1631"/>
      <c r="D12" s="1633"/>
      <c r="E12" s="180"/>
      <c r="F12" s="180"/>
      <c r="G12" s="180"/>
      <c r="H12" s="180"/>
      <c r="I12" s="180"/>
      <c r="J12" s="180"/>
      <c r="K12" s="180"/>
      <c r="L12" s="180"/>
      <c r="M12" s="1624"/>
      <c r="N12" s="1624"/>
      <c r="O12" s="1624"/>
      <c r="P12" s="1624"/>
      <c r="Q12" s="1624"/>
      <c r="R12" s="1624"/>
      <c r="S12" s="225"/>
      <c r="T12" s="225"/>
      <c r="U12" s="225"/>
      <c r="V12" s="225"/>
      <c r="IW12" s="1609">
        <v>21</v>
      </c>
    </row>
    <row s="1819" customFormat="1" customHeight="1" ht="14.699999999999998">
      <c r="A13" s="1631"/>
      <c r="B13" s="1366"/>
      <c r="C13" s="1631"/>
      <c r="D13" s="1633"/>
      <c r="E13" s="1631"/>
      <c r="F13" s="1631"/>
      <c r="G13" s="1631"/>
      <c r="H13" s="1631"/>
      <c r="I13" s="1631"/>
      <c r="J13" s="1631"/>
      <c r="K13" s="1631"/>
      <c r="L13" s="1631"/>
      <c r="M13" s="1624"/>
      <c r="N13" s="1624"/>
      <c r="O13" s="1624"/>
      <c r="P13" s="1624"/>
      <c r="Q13" s="1624"/>
      <c r="R13" s="1624"/>
      <c r="S13" s="225"/>
      <c r="T13" s="225"/>
      <c r="U13" s="225"/>
      <c r="V13" s="225"/>
      <c r="IW13" s="1609">
        <v>14</v>
      </c>
    </row>
    <row s="1819" customFormat="1" customHeight="1" ht="1.05">
      <c r="A14" s="1631"/>
      <c r="B14" s="1366"/>
      <c r="C14" s="1631"/>
      <c r="D14" s="1633"/>
      <c r="E14" s="1631"/>
      <c r="F14" s="1631"/>
      <c r="G14" s="1631"/>
      <c r="H14" s="1631"/>
      <c r="I14" s="1631"/>
      <c r="J14" s="1631"/>
      <c r="K14" s="1631"/>
      <c r="L14" s="1631"/>
      <c r="M14" s="1624"/>
      <c r="N14" s="1624"/>
      <c r="O14" s="1624"/>
      <c r="P14" s="1624"/>
      <c r="Q14" s="1624"/>
      <c r="R14" s="1624"/>
      <c r="S14" s="225"/>
      <c r="T14" s="225"/>
      <c r="U14" s="225"/>
      <c r="V14" s="225"/>
      <c r="IW14" s="1609">
        <v>1</v>
      </c>
    </row>
    <row customHeight="1" ht="22.5" hidden="1">
      <c r="A15" s="1631" t="s">
        <v>82</v>
      </c>
      <c r="B15" s="1366">
        <v>0</v>
      </c>
      <c r="C15" s="1631">
        <v>0</v>
      </c>
      <c r="D15" s="1633">
        <v>3</v>
      </c>
      <c r="E15" s="1631">
        <v>6</v>
      </c>
      <c r="F15" s="1631">
        <v>27</v>
      </c>
      <c r="G15" s="1631">
        <v>16</v>
      </c>
      <c r="H15" s="1631">
        <v>12</v>
      </c>
      <c r="I15" s="1631">
        <v>32</v>
      </c>
      <c r="J15" s="1631">
        <v>41</v>
      </c>
      <c r="K15" s="1631">
        <v>41</v>
      </c>
      <c r="L15" s="1631">
        <v>89</v>
      </c>
      <c r="M15" s="1624">
        <v>3</v>
      </c>
      <c r="N15" s="1624">
        <v>8</v>
      </c>
      <c r="O15" s="1624">
        <v>8</v>
      </c>
      <c r="P15" s="1624">
        <v>8</v>
      </c>
      <c r="Q15" s="1624">
        <v>25</v>
      </c>
      <c r="R15" s="1624">
        <v>14</v>
      </c>
      <c r="S15" s="225">
        <v>8</v>
      </c>
      <c r="T15" s="225">
        <v>8</v>
      </c>
      <c r="U15" s="225">
        <v>8</v>
      </c>
      <c r="V15" s="225">
        <v>8</v>
      </c>
      <c r="W15" s="1631">
        <v>8</v>
      </c>
      <c r="X15" s="1631">
        <v>8</v>
      </c>
      <c r="Y15" s="1631">
        <v>8</v>
      </c>
      <c r="Z15" s="1631">
        <v>8</v>
      </c>
      <c r="AA15" s="1631">
        <v>8</v>
      </c>
      <c r="AB15" s="1631">
        <v>8</v>
      </c>
      <c r="AC15" s="1631">
        <v>8</v>
      </c>
      <c r="AD15" s="1631">
        <v>8</v>
      </c>
      <c r="AE15" s="1631">
        <v>8</v>
      </c>
      <c r="AF15" s="1631">
        <v>8</v>
      </c>
      <c r="AG15" s="1631">
        <v>8</v>
      </c>
      <c r="AH15" s="1631">
        <v>8</v>
      </c>
      <c r="AI15" s="1631">
        <v>8</v>
      </c>
      <c r="AJ15" s="1631">
        <v>8</v>
      </c>
      <c r="AK15" s="1631">
        <v>8</v>
      </c>
      <c r="AL15" s="1631">
        <v>8</v>
      </c>
      <c r="AM15" s="1631">
        <v>8</v>
      </c>
      <c r="AN15" s="1631">
        <v>8</v>
      </c>
      <c r="AO15" s="1631">
        <v>8</v>
      </c>
      <c r="AP15" s="1631">
        <v>8</v>
      </c>
      <c r="AQ15" s="1631">
        <v>8</v>
      </c>
      <c r="AR15" s="1631">
        <v>8</v>
      </c>
      <c r="AS15" s="1631">
        <v>8</v>
      </c>
      <c r="AT15" s="1631">
        <v>8</v>
      </c>
      <c r="AU15" s="1631">
        <v>8</v>
      </c>
      <c r="AV15" s="1631">
        <v>8</v>
      </c>
      <c r="AW15" s="1631">
        <v>8</v>
      </c>
      <c r="AX15" s="1631">
        <v>8</v>
      </c>
      <c r="AY15" s="1631">
        <v>8</v>
      </c>
      <c r="AZ15" s="1631">
        <v>8</v>
      </c>
      <c r="BA15" s="1631">
        <v>8</v>
      </c>
      <c r="BB15" s="1631">
        <v>8</v>
      </c>
      <c r="BC15" s="1631">
        <v>8</v>
      </c>
      <c r="BD15" s="1631">
        <v>8</v>
      </c>
      <c r="BE15" s="1631">
        <v>8</v>
      </c>
      <c r="BF15" s="1631">
        <v>8</v>
      </c>
      <c r="BG15" s="1631">
        <v>8</v>
      </c>
      <c r="BH15" s="1631">
        <v>8</v>
      </c>
      <c r="BI15" s="1631">
        <v>8</v>
      </c>
      <c r="BJ15" s="1631">
        <v>8</v>
      </c>
      <c r="BK15" s="1631">
        <v>8</v>
      </c>
      <c r="BL15" s="1631">
        <v>8</v>
      </c>
      <c r="BM15" s="1631">
        <v>8</v>
      </c>
      <c r="BN15" s="1631">
        <v>8</v>
      </c>
      <c r="BO15" s="1631">
        <v>8</v>
      </c>
      <c r="BP15" s="1631">
        <v>8</v>
      </c>
      <c r="BQ15" s="1631">
        <v>8</v>
      </c>
      <c r="BR15" s="1631">
        <v>8</v>
      </c>
      <c r="BS15" s="1631">
        <v>8</v>
      </c>
      <c r="BT15" s="1631">
        <v>8</v>
      </c>
      <c r="BU15" s="1631">
        <v>8</v>
      </c>
      <c r="BV15" s="1631">
        <v>8</v>
      </c>
      <c r="BW15" s="1631">
        <v>8</v>
      </c>
      <c r="BX15" s="1631">
        <v>8</v>
      </c>
      <c r="BY15" s="1631">
        <v>8</v>
      </c>
      <c r="BZ15" s="1631">
        <v>8</v>
      </c>
      <c r="CA15" s="1631">
        <v>8</v>
      </c>
      <c r="CB15" s="1631">
        <v>8</v>
      </c>
      <c r="CC15" s="1631">
        <v>8</v>
      </c>
      <c r="CD15" s="1631">
        <v>8</v>
      </c>
      <c r="CE15" s="1631">
        <v>8</v>
      </c>
      <c r="CF15" s="1631">
        <v>8</v>
      </c>
      <c r="CG15" s="1631">
        <v>8</v>
      </c>
      <c r="CH15" s="1631">
        <v>8</v>
      </c>
      <c r="CI15" s="1631">
        <v>8</v>
      </c>
      <c r="CJ15" s="1631">
        <v>8</v>
      </c>
      <c r="CK15" s="1631">
        <v>8</v>
      </c>
      <c r="CL15" s="1631">
        <v>8</v>
      </c>
      <c r="CM15" s="1631">
        <v>8</v>
      </c>
      <c r="CN15" s="1631">
        <v>8</v>
      </c>
      <c r="CO15" s="1631">
        <v>8</v>
      </c>
      <c r="CP15" s="1631">
        <v>8</v>
      </c>
      <c r="CQ15" s="1631">
        <v>8</v>
      </c>
      <c r="CR15" s="1631">
        <v>8</v>
      </c>
      <c r="CS15" s="1631">
        <v>8</v>
      </c>
      <c r="CT15" s="1631">
        <v>8</v>
      </c>
      <c r="CU15" s="1631">
        <v>8</v>
      </c>
      <c r="CV15" s="1631">
        <v>8</v>
      </c>
      <c r="CW15" s="1631">
        <v>8</v>
      </c>
      <c r="CX15" s="1631">
        <v>8</v>
      </c>
      <c r="CY15" s="1631">
        <v>8</v>
      </c>
      <c r="CZ15" s="1631">
        <v>8</v>
      </c>
      <c r="DA15" s="1631">
        <v>8</v>
      </c>
      <c r="DB15" s="1631">
        <v>8</v>
      </c>
      <c r="DC15" s="1631">
        <v>8</v>
      </c>
      <c r="DD15" s="1631">
        <v>8</v>
      </c>
      <c r="DE15" s="1631">
        <v>8</v>
      </c>
      <c r="DF15" s="1631">
        <v>8</v>
      </c>
      <c r="DG15" s="1631">
        <v>8</v>
      </c>
      <c r="DH15" s="1631">
        <v>8</v>
      </c>
      <c r="DI15" s="1631">
        <v>8</v>
      </c>
      <c r="DJ15" s="1631">
        <v>8</v>
      </c>
      <c r="DK15" s="1631">
        <v>8</v>
      </c>
      <c r="DL15" s="1631">
        <v>8</v>
      </c>
      <c r="DM15" s="1631">
        <v>8</v>
      </c>
      <c r="DN15" s="1631">
        <v>8</v>
      </c>
      <c r="DO15" s="1631">
        <v>8</v>
      </c>
      <c r="DP15" s="1631">
        <v>8</v>
      </c>
      <c r="DQ15" s="1631">
        <v>8</v>
      </c>
      <c r="DR15" s="1631">
        <v>8</v>
      </c>
      <c r="DS15" s="1631">
        <v>8</v>
      </c>
      <c r="DT15" s="1631">
        <v>8</v>
      </c>
      <c r="DU15" s="1631">
        <v>8</v>
      </c>
      <c r="DV15" s="1631">
        <v>8</v>
      </c>
      <c r="DW15" s="1631">
        <v>8</v>
      </c>
      <c r="DX15" s="1631">
        <v>8</v>
      </c>
      <c r="DY15" s="1631">
        <v>8</v>
      </c>
      <c r="DZ15" s="1631">
        <v>8</v>
      </c>
      <c r="EA15" s="1631">
        <v>8</v>
      </c>
      <c r="EB15" s="1631">
        <v>8</v>
      </c>
      <c r="EC15" s="1631">
        <v>8</v>
      </c>
      <c r="ED15" s="1631">
        <v>8</v>
      </c>
      <c r="EE15" s="1631">
        <v>8</v>
      </c>
      <c r="EF15" s="1631">
        <v>8</v>
      </c>
      <c r="EG15" s="1631">
        <v>8</v>
      </c>
      <c r="EH15" s="1631">
        <v>8</v>
      </c>
      <c r="EI15" s="1631">
        <v>8</v>
      </c>
      <c r="EJ15" s="1631">
        <v>8</v>
      </c>
      <c r="EK15" s="1631">
        <v>8</v>
      </c>
      <c r="EL15" s="1631">
        <v>8</v>
      </c>
      <c r="EM15" s="1631">
        <v>8</v>
      </c>
      <c r="EN15" s="1631">
        <v>8</v>
      </c>
      <c r="EO15" s="1631">
        <v>8</v>
      </c>
      <c r="EP15" s="1631">
        <v>8</v>
      </c>
      <c r="EQ15" s="1631">
        <v>8</v>
      </c>
      <c r="ER15" s="1631">
        <v>8</v>
      </c>
      <c r="ES15" s="1631">
        <v>8</v>
      </c>
      <c r="ET15" s="1631">
        <v>8</v>
      </c>
      <c r="EU15" s="1631">
        <v>8</v>
      </c>
      <c r="EV15" s="1631">
        <v>8</v>
      </c>
      <c r="EW15" s="1631">
        <v>8</v>
      </c>
      <c r="EX15" s="1631">
        <v>8</v>
      </c>
      <c r="EY15" s="1631">
        <v>8</v>
      </c>
      <c r="EZ15" s="1631">
        <v>8</v>
      </c>
      <c r="FA15" s="1631">
        <v>8</v>
      </c>
      <c r="FB15" s="1631">
        <v>8</v>
      </c>
      <c r="FC15" s="1631">
        <v>8</v>
      </c>
      <c r="FD15" s="1631">
        <v>8</v>
      </c>
      <c r="FE15" s="1631">
        <v>8</v>
      </c>
      <c r="FF15" s="1631">
        <v>8</v>
      </c>
      <c r="FG15" s="1631">
        <v>8</v>
      </c>
      <c r="FH15" s="1631">
        <v>8</v>
      </c>
      <c r="FI15" s="1631">
        <v>8</v>
      </c>
      <c r="FJ15" s="1631">
        <v>8</v>
      </c>
      <c r="FK15" s="1631">
        <v>8</v>
      </c>
      <c r="FL15" s="1631">
        <v>8</v>
      </c>
      <c r="FM15" s="1631">
        <v>8</v>
      </c>
      <c r="FN15" s="1631">
        <v>8</v>
      </c>
      <c r="FO15" s="1631">
        <v>8</v>
      </c>
      <c r="FP15" s="1631">
        <v>8</v>
      </c>
      <c r="FQ15" s="1631">
        <v>8</v>
      </c>
      <c r="FR15" s="1631">
        <v>8</v>
      </c>
      <c r="FS15" s="1631">
        <v>8</v>
      </c>
      <c r="FT15" s="1631">
        <v>8</v>
      </c>
      <c r="FU15" s="1631">
        <v>8</v>
      </c>
      <c r="FV15" s="1631">
        <v>8</v>
      </c>
      <c r="FW15" s="1631">
        <v>8</v>
      </c>
      <c r="FX15" s="1631">
        <v>8</v>
      </c>
      <c r="FY15" s="1631">
        <v>8</v>
      </c>
      <c r="FZ15" s="1631">
        <v>8</v>
      </c>
      <c r="GA15" s="1631">
        <v>8</v>
      </c>
      <c r="GB15" s="1631">
        <v>8</v>
      </c>
      <c r="GC15" s="1631">
        <v>8</v>
      </c>
      <c r="GD15" s="1631">
        <v>8</v>
      </c>
      <c r="GE15" s="1631">
        <v>8</v>
      </c>
      <c r="GF15" s="1631">
        <v>8</v>
      </c>
      <c r="GG15" s="1631">
        <v>8</v>
      </c>
      <c r="GH15" s="1631">
        <v>8</v>
      </c>
      <c r="GI15" s="1631">
        <v>8</v>
      </c>
      <c r="GJ15" s="1631">
        <v>8</v>
      </c>
      <c r="GK15" s="1631">
        <v>8</v>
      </c>
      <c r="GL15" s="1631">
        <v>8</v>
      </c>
      <c r="GM15" s="1631">
        <v>8</v>
      </c>
      <c r="GN15" s="1631">
        <v>8</v>
      </c>
      <c r="GO15" s="1631">
        <v>8</v>
      </c>
      <c r="GP15" s="1631">
        <v>8</v>
      </c>
      <c r="GQ15" s="1631">
        <v>8</v>
      </c>
      <c r="GR15" s="1631">
        <v>8</v>
      </c>
      <c r="GS15" s="1631">
        <v>8</v>
      </c>
      <c r="GT15" s="1631">
        <v>8</v>
      </c>
      <c r="GU15" s="1631">
        <v>8</v>
      </c>
      <c r="GV15" s="1631">
        <v>8</v>
      </c>
      <c r="GW15" s="1631">
        <v>8</v>
      </c>
      <c r="GX15" s="1631">
        <v>8</v>
      </c>
      <c r="GY15" s="1631">
        <v>8</v>
      </c>
      <c r="GZ15" s="1631">
        <v>8</v>
      </c>
      <c r="HA15" s="1631">
        <v>8</v>
      </c>
      <c r="HB15" s="1631">
        <v>8</v>
      </c>
      <c r="HC15" s="1631">
        <v>8</v>
      </c>
      <c r="HD15" s="1631">
        <v>8</v>
      </c>
      <c r="HE15" s="1631">
        <v>8</v>
      </c>
      <c r="HF15" s="1631">
        <v>8</v>
      </c>
      <c r="HG15" s="1631">
        <v>8</v>
      </c>
      <c r="HH15" s="1631">
        <v>8</v>
      </c>
      <c r="HI15" s="1631">
        <v>8</v>
      </c>
      <c r="HJ15" s="1631">
        <v>8</v>
      </c>
      <c r="HK15" s="1631">
        <v>8</v>
      </c>
      <c r="HL15" s="1631">
        <v>8</v>
      </c>
      <c r="HM15" s="1631">
        <v>8</v>
      </c>
      <c r="HN15" s="1631">
        <v>8</v>
      </c>
      <c r="HO15" s="1631">
        <v>8</v>
      </c>
      <c r="HP15" s="1631">
        <v>8</v>
      </c>
      <c r="HQ15" s="1631">
        <v>8</v>
      </c>
      <c r="HR15" s="1631">
        <v>8</v>
      </c>
      <c r="HS15" s="1631">
        <v>8</v>
      </c>
      <c r="HT15" s="1631">
        <v>8</v>
      </c>
      <c r="HU15" s="1631">
        <v>8</v>
      </c>
      <c r="HV15" s="1631">
        <v>8</v>
      </c>
      <c r="HW15" s="1631">
        <v>8</v>
      </c>
      <c r="HX15" s="1631">
        <v>8</v>
      </c>
      <c r="HY15" s="1631">
        <v>8</v>
      </c>
      <c r="HZ15" s="1631">
        <v>8</v>
      </c>
      <c r="IA15" s="1631">
        <v>8</v>
      </c>
      <c r="IB15" s="1631">
        <v>8</v>
      </c>
      <c r="IC15" s="1631">
        <v>8</v>
      </c>
      <c r="ID15" s="1631">
        <v>8</v>
      </c>
      <c r="IE15" s="1631">
        <v>8</v>
      </c>
      <c r="IF15" s="1631">
        <v>8</v>
      </c>
      <c r="IG15" s="1631">
        <v>8</v>
      </c>
      <c r="IH15" s="1631">
        <v>8</v>
      </c>
      <c r="II15" s="1631">
        <v>8</v>
      </c>
      <c r="IJ15" s="1631">
        <v>8</v>
      </c>
      <c r="IK15" s="1631">
        <v>8</v>
      </c>
      <c r="IL15" s="1631">
        <v>8</v>
      </c>
      <c r="IM15" s="1631">
        <v>8</v>
      </c>
      <c r="IN15" s="1631">
        <v>8</v>
      </c>
      <c r="IO15" s="1631">
        <v>8</v>
      </c>
      <c r="IP15" s="1631">
        <v>8</v>
      </c>
      <c r="IQ15" s="1631">
        <v>8</v>
      </c>
      <c r="IR15" s="1631">
        <v>8</v>
      </c>
      <c r="IS15" s="1631">
        <v>8</v>
      </c>
      <c r="IT15" s="1631">
        <v>8</v>
      </c>
      <c r="IU15" s="1631">
        <v>8</v>
      </c>
      <c r="IV15" s="1631">
        <v>8</v>
      </c>
      <c r="IW15" s="1631">
        <v>23</v>
      </c>
    </row>
  </sheetData>
  <sheetProtection sort="0" autoFilter="0" insertRows="0" insertColumns="1" deleteRows="0" deleteColumns="0"/>
  <mergeCells count="10">
    <mergeCell ref="A10:A11"/>
    <mergeCell ref="L10:L11"/>
    <mergeCell ref="E5:K5"/>
    <mergeCell ref="E7:K7"/>
    <mergeCell ref="L7:L9"/>
    <mergeCell ref="E8:E9"/>
    <mergeCell ref="F8:F9"/>
    <mergeCell ref="G8:I8"/>
    <mergeCell ref="J8:J9"/>
    <mergeCell ref="K8:K9"/>
  </mergeCells>
  <dataValidations count="5">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J2:K3">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2:G3"/>
    <dataValidation type="textLength" allowBlank="1" showInputMessage="1" showErrorMessage="1" sqref="H3:I3">
      <formula1>13</formula1>
      <formula2>15</formula2>
    </dataValidation>
    <dataValidation type="textLength" operator="lessThanOrEqual" allowBlank="1" showInputMessage="1" showErrorMessage="1" sqref="I2">
      <formula1>990</formula1>
    </dataValidation>
    <dataValidation type="time" allowBlank="1" showInputMessage="1" showErrorMessage="1" prompt="Укажите время в формате ЧЧ:ММ" sqref="H2">
      <formula1>0</formula1>
      <formula2>0.9993055555555556</formula2>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29DA1B5-5576-8CCC-29E6-.6BEDB9FCD75}" mc:Ignorable="x14ac xr xr2 xr3">
  <dimension ref="A1:Q19"/>
  <sheetViews>
    <sheetView showGridLines="0" zoomScale="90" workbookViewId="0">
      <pane xSplit="10" ySplit="12" topLeftCell="K13" activePane="bottomRight" state="frozen"/>
      <selection pane="bottomLeft" activeCell="A13" sqref="A13"/>
      <selection pane="topRight" activeCell="K1" sqref="K1"/>
      <selection pane="bottomRight" activeCell="A1" sqref="A1"/>
    </sheetView>
  </sheetViews>
  <sheetFormatPr defaultColWidth="9.140625" customHeight="1" defaultRowHeight="14.25"/>
  <cols>
    <col min="1" max="1" style="1635" width="9.140625" hidden="1"/>
    <col min="2" max="2" style="1366" width="9.140625" hidden="1"/>
    <col min="3" max="3" style="1635" width="3.7109375" hidden="1" customWidth="1"/>
    <col min="4" max="4" style="1842" width="3.00390625" customWidth="1"/>
    <col min="5" max="5" style="1635" width="6.00390625" customWidth="1"/>
    <col min="6" max="6" style="1635" width="27.00390625" customWidth="1"/>
    <col min="7" max="7" style="1635" width="29.00390625" customWidth="1"/>
    <col min="8" max="8" style="1635" width="25.00390625" customWidth="1"/>
    <col min="9" max="9" style="1635" width="5.00390625" customWidth="1"/>
    <col min="10" max="10" style="1635" width="6.00390625" customWidth="1"/>
    <col min="11" max="11" style="1635" width="41.00390625" customWidth="1"/>
    <col min="12" max="12" style="1635" width="42.00390625" customWidth="1"/>
    <col min="13" max="13" style="1635" width="41.00390625" customWidth="1"/>
    <col min="14" max="14" style="1635" width="89.00390625" customWidth="1"/>
    <col min="15" max="15" style="1624" width="3.00390625" customWidth="1"/>
    <col min="16" max="16" style="1624" width="8.00390625" customWidth="1"/>
    <col min="17" max="17" style="1635" width="9.140625" hidden="1"/>
  </cols>
  <sheetData>
    <row customHeight="1" ht="22.5" hidden="1">
      <c r="Q1" s="1155" t="s">
        <v>14</v>
      </c>
    </row>
    <row s="1850" customFormat="1" customHeight="1" ht="22.5" hidden="1">
      <c r="A2" s="496"/>
      <c r="B2" s="1160">
        <v>1</v>
      </c>
      <c r="C2" s="1160"/>
      <c r="D2" s="1928" t="s">
        <v>122</v>
      </c>
      <c r="E2" s="2127">
        <v>1</v>
      </c>
      <c r="F2" s="2303" t="str">
        <f>IF(region_name="","",region_name)</f>
        <v>Вологодская область</v>
      </c>
      <c r="G2" s="2483"/>
      <c r="H2" s="2484"/>
      <c r="I2" s="474"/>
      <c r="J2" s="1910">
        <v>1</v>
      </c>
      <c r="K2" s="1912"/>
      <c r="L2" s="1912"/>
      <c r="M2" s="1912"/>
      <c r="N2" s="492"/>
      <c r="O2" s="1535"/>
      <c r="P2" s="511"/>
      <c r="Q2" s="423">
        <v>0</v>
      </c>
    </row>
    <row s="1850" customFormat="1" customHeight="1" ht="22.5" hidden="1">
      <c r="A3" s="831"/>
      <c r="B3" s="1160"/>
      <c r="C3" s="1160"/>
      <c r="D3" s="801"/>
      <c r="E3" s="2127"/>
      <c r="F3" s="2303"/>
      <c r="G3" s="2483"/>
      <c r="H3" s="2485"/>
      <c r="I3" s="421"/>
      <c r="J3" s="1500"/>
      <c r="K3" s="1500" t="s">
        <v>1881</v>
      </c>
      <c r="L3" s="1543"/>
      <c r="M3" s="1920"/>
      <c r="N3" s="1913"/>
      <c r="O3" s="1535"/>
      <c r="P3" s="511"/>
      <c r="Q3" s="423">
        <v>0</v>
      </c>
    </row>
    <row s="1642" customFormat="1" customHeight="1" ht="5.25" hidden="1">
      <c r="A4" s="496"/>
      <c r="D4" s="494"/>
      <c r="F4" s="247" t="s">
        <v>83</v>
      </c>
      <c r="G4" s="494" t="s">
        <v>84</v>
      </c>
      <c r="H4" s="494"/>
      <c r="I4" s="1923"/>
      <c r="J4" s="1544"/>
      <c r="K4" s="1911"/>
      <c r="L4" s="1911"/>
      <c r="M4" s="1911"/>
      <c r="N4" s="1907"/>
      <c r="O4" s="247" t="s">
        <v>83</v>
      </c>
      <c r="P4" s="247"/>
      <c r="Q4" s="511">
        <v>0</v>
      </c>
    </row>
    <row s="1850" customFormat="1" customHeight="1" ht="22.5" hidden="1">
      <c r="A5" s="1641"/>
      <c r="B5" s="1366">
        <v>1</v>
      </c>
      <c r="C5" s="1366"/>
      <c r="D5" s="801"/>
      <c r="E5" s="1913"/>
      <c r="F5" s="1913"/>
      <c r="G5" s="1913"/>
      <c r="H5" s="1924"/>
      <c r="I5" s="1929" t="s">
        <v>122</v>
      </c>
      <c r="J5" s="1922">
        <v>1</v>
      </c>
      <c r="K5" s="1912"/>
      <c r="L5" s="1912"/>
      <c r="M5" s="1912"/>
      <c r="N5" s="492"/>
      <c r="O5" s="1535"/>
      <c r="P5" s="1636"/>
      <c r="Q5" s="624">
        <v>0</v>
      </c>
    </row>
    <row s="1819" customFormat="1" customHeight="1" ht="14.699999999999998">
      <c r="A6" s="1155"/>
      <c r="B6" s="1160"/>
      <c r="C6" s="1155"/>
      <c r="D6" s="1495"/>
      <c r="E6" s="509"/>
      <c r="F6" s="509"/>
      <c r="G6" s="509"/>
      <c r="H6" s="509"/>
      <c r="I6" s="509"/>
      <c r="J6" s="509"/>
      <c r="K6" s="509"/>
      <c r="L6" s="509"/>
      <c r="M6" s="509"/>
      <c r="N6" s="1635"/>
      <c r="O6" s="247"/>
      <c r="P6" s="500"/>
      <c r="Q6" s="507">
        <v>14</v>
      </c>
    </row>
    <row s="1819" customFormat="1" customHeight="1" ht="27.299999999999997">
      <c r="A7" s="1155"/>
      <c r="B7" s="1160"/>
      <c r="C7" s="1155"/>
      <c r="D7" s="1495"/>
      <c r="E7" s="2490" t="str">
        <f>"Форма "&amp;IF(TEMPLATE_SPHERE="HEAT","5","4")&amp;". Информация о привлечении к административной ответственности организаций и должностных лиц за нарушение установленных порядка, способа, сроков раскрытия информации и форм ее предоставления"</f>
        <v>Форма 5. Информация о привлечении к административной ответственности организаций и должностных лиц за нарушение установленных порядка, способа, сроков раскрытия информации и форм ее предоставления</v>
      </c>
      <c r="F7" s="2490"/>
      <c r="G7" s="2490"/>
      <c r="H7" s="2490"/>
      <c r="I7" s="2490"/>
      <c r="J7" s="2490"/>
      <c r="K7" s="2490"/>
      <c r="L7" s="2490"/>
      <c r="M7" s="2490"/>
      <c r="N7" s="1252"/>
      <c r="O7" s="247"/>
      <c r="P7" s="500"/>
      <c r="Q7" s="507">
        <v>26</v>
      </c>
    </row>
    <row s="1819" customFormat="1" customHeight="1" ht="14.699999999999998">
      <c r="A8" s="1155"/>
      <c r="B8" s="1160"/>
      <c r="C8" s="1155"/>
      <c r="D8" s="1495"/>
      <c r="E8" s="509"/>
      <c r="F8" s="167"/>
      <c r="G8" s="167"/>
      <c r="H8" s="167"/>
      <c r="I8" s="167"/>
      <c r="J8" s="167"/>
      <c r="K8" s="167"/>
      <c r="L8" s="167"/>
      <c r="M8" s="167"/>
      <c r="N8" s="616"/>
      <c r="O8" s="500"/>
      <c r="P8" s="500"/>
      <c r="Q8" s="507">
        <v>14</v>
      </c>
    </row>
    <row s="1546" customFormat="1" customHeight="1" ht="14.25" hidden="1">
      <c r="A9" s="1468"/>
      <c r="B9" s="1478"/>
      <c r="C9" s="1468"/>
      <c r="D9" s="1495"/>
      <c r="E9" s="1914"/>
      <c r="F9" s="1914"/>
      <c r="G9" s="1914"/>
      <c r="H9" s="1914"/>
      <c r="I9" s="2493"/>
      <c r="J9" s="2493"/>
      <c r="K9" s="2493"/>
      <c r="L9" s="1914"/>
      <c r="M9" s="1915"/>
      <c r="O9" s="1545"/>
      <c r="P9" s="1545"/>
      <c r="Q9" s="1546">
        <v>0</v>
      </c>
    </row>
    <row s="1819" customFormat="1" customHeight="1" ht="14.699999999999998">
      <c r="A10" s="1155"/>
      <c r="B10" s="1160"/>
      <c r="C10" s="1155"/>
      <c r="D10" s="1495"/>
      <c r="E10" s="2127" t="s">
        <v>302</v>
      </c>
      <c r="F10" s="2127"/>
      <c r="G10" s="2127"/>
      <c r="H10" s="2127"/>
      <c r="I10" s="2127"/>
      <c r="J10" s="2127"/>
      <c r="K10" s="2127"/>
      <c r="L10" s="2127"/>
      <c r="M10" s="2101"/>
      <c r="N10" s="2478" t="s">
        <v>303</v>
      </c>
      <c r="O10" s="500"/>
      <c r="P10" s="500"/>
      <c r="Q10" s="507">
        <v>14</v>
      </c>
    </row>
    <row s="1819" customFormat="1" customHeight="1" ht="44.25">
      <c r="A11" s="1631"/>
      <c r="B11" s="1366"/>
      <c r="C11" s="1631"/>
      <c r="D11" s="1515"/>
      <c r="E11" s="2492" t="s">
        <v>88</v>
      </c>
      <c r="F11" s="2492" t="s">
        <v>306</v>
      </c>
      <c r="G11" s="2492" t="s">
        <v>1882</v>
      </c>
      <c r="H11" s="2492"/>
      <c r="I11" s="2492" t="s">
        <v>1883</v>
      </c>
      <c r="J11" s="2492"/>
      <c r="K11" s="2492"/>
      <c r="L11" s="2492" t="s">
        <v>1884</v>
      </c>
      <c r="M11" s="2480" t="s">
        <v>1885</v>
      </c>
      <c r="N11" s="2491"/>
      <c r="O11" s="1624"/>
      <c r="P11" s="1624"/>
      <c r="Q11" s="1609">
        <v>42</v>
      </c>
    </row>
    <row s="1819" customFormat="1" customHeight="1" ht="29.25">
      <c r="A12" s="1155"/>
      <c r="B12" s="1160"/>
      <c r="C12" s="1155"/>
      <c r="D12" s="1495"/>
      <c r="E12" s="2478"/>
      <c r="F12" s="2492"/>
      <c r="G12" s="1909" t="s">
        <v>1886</v>
      </c>
      <c r="H12" s="1909" t="s">
        <v>310</v>
      </c>
      <c r="I12" s="2492"/>
      <c r="J12" s="2492"/>
      <c r="K12" s="2492"/>
      <c r="L12" s="2492"/>
      <c r="M12" s="2480"/>
      <c r="N12" s="2479"/>
      <c r="O12" s="500"/>
      <c r="P12" s="500"/>
      <c r="Q12" s="507">
        <v>28</v>
      </c>
    </row>
    <row s="1850" customFormat="1" customHeight="1" ht="23.25">
      <c r="A13" s="2099">
        <v>26379339</v>
      </c>
      <c r="B13" s="1160">
        <v>1</v>
      </c>
      <c r="C13" s="1160"/>
      <c r="D13" s="801"/>
      <c r="E13" s="2127">
        <v>1</v>
      </c>
      <c r="F13" s="2486" t="str">
        <f>IF(region_name="","",region_name)</f>
        <v>Вологодская область</v>
      </c>
      <c r="G13" s="2487"/>
      <c r="H13" s="2494"/>
      <c r="I13" s="474"/>
      <c r="J13" s="1905">
        <v>1</v>
      </c>
      <c r="K13" s="1918"/>
      <c r="L13" s="1919"/>
      <c r="M13" s="1919"/>
      <c r="N13" s="2488" t="s">
        <v>1887</v>
      </c>
      <c r="O13" s="1535"/>
      <c r="P13" s="511"/>
      <c r="Q13" s="423">
        <v>22</v>
      </c>
    </row>
    <row s="1850" customFormat="1" customHeight="1" ht="23.25">
      <c r="A14" s="2099"/>
      <c r="B14" s="1160"/>
      <c r="C14" s="1160"/>
      <c r="D14" s="801"/>
      <c r="E14" s="2127"/>
      <c r="F14" s="2486"/>
      <c r="G14" s="2487"/>
      <c r="H14" s="2495"/>
      <c r="I14" s="421"/>
      <c r="J14" s="1500"/>
      <c r="K14" s="1500" t="s">
        <v>1881</v>
      </c>
      <c r="L14" s="1543"/>
      <c r="M14" s="1543"/>
      <c r="N14" s="2489"/>
      <c r="O14" s="1535"/>
      <c r="P14" s="511"/>
      <c r="Q14" s="423">
        <v>22</v>
      </c>
    </row>
    <row s="1850" customFormat="1" customHeight="1" ht="23.25">
      <c r="A15" s="2099"/>
      <c r="B15" s="1160"/>
      <c r="C15" s="412"/>
      <c r="D15" s="801"/>
      <c r="E15" s="421"/>
      <c r="F15" s="1500" t="s">
        <v>1873</v>
      </c>
      <c r="G15" s="1542"/>
      <c r="H15" s="1542"/>
      <c r="I15" s="187"/>
      <c r="J15" s="187"/>
      <c r="K15" s="187"/>
      <c r="L15" s="187"/>
      <c r="M15" s="187"/>
      <c r="N15" s="2489"/>
      <c r="O15" s="1536"/>
      <c r="P15" s="511"/>
      <c r="Q15" s="423">
        <v>22</v>
      </c>
    </row>
    <row s="1819" customFormat="1" customHeight="1" ht="22.049999999999997">
      <c r="A16" s="1155"/>
      <c r="B16" s="1160"/>
      <c r="C16" s="1155"/>
      <c r="D16" s="451"/>
      <c r="E16" s="180"/>
      <c r="F16" s="180"/>
      <c r="G16" s="180"/>
      <c r="H16" s="180"/>
      <c r="I16" s="180"/>
      <c r="J16" s="180"/>
      <c r="K16" s="180"/>
      <c r="L16" s="180"/>
      <c r="M16" s="509"/>
      <c r="N16" s="1635"/>
      <c r="O16" s="500"/>
      <c r="P16" s="500"/>
      <c r="Q16" s="507">
        <v>21</v>
      </c>
    </row>
    <row s="1819" customFormat="1" customHeight="1" ht="14.699999999999998">
      <c r="A17" s="1155"/>
      <c r="B17" s="1160"/>
      <c r="C17" s="1155"/>
      <c r="D17" s="451"/>
      <c r="E17" s="1155"/>
      <c r="F17" s="1155"/>
      <c r="G17" s="1155"/>
      <c r="H17" s="1155"/>
      <c r="I17" s="1155"/>
      <c r="J17" s="1155"/>
      <c r="K17" s="1155"/>
      <c r="L17" s="1155"/>
      <c r="M17" s="1155"/>
      <c r="N17" s="1631"/>
      <c r="O17" s="500"/>
      <c r="P17" s="500"/>
      <c r="Q17" s="507">
        <v>14</v>
      </c>
    </row>
    <row s="1819" customFormat="1" customHeight="1" ht="1.05">
      <c r="A18" s="1155"/>
      <c r="B18" s="1160"/>
      <c r="C18" s="1155"/>
      <c r="D18" s="451"/>
      <c r="E18" s="1155"/>
      <c r="F18" s="1155"/>
      <c r="G18" s="1155"/>
      <c r="H18" s="1155"/>
      <c r="I18" s="1155"/>
      <c r="J18" s="1155"/>
      <c r="K18" s="1155"/>
      <c r="L18" s="1155"/>
      <c r="M18" s="1155"/>
      <c r="N18" s="1631"/>
      <c r="O18" s="500"/>
      <c r="P18" s="500"/>
      <c r="Q18" s="507">
        <v>1</v>
      </c>
    </row>
    <row customHeight="1" ht="22.5" hidden="1">
      <c r="A19" s="1155" t="s">
        <v>82</v>
      </c>
      <c r="B19" s="1160">
        <v>0</v>
      </c>
      <c r="C19" s="1155">
        <v>0</v>
      </c>
      <c r="D19" s="451">
        <v>3</v>
      </c>
      <c r="E19" s="1155">
        <v>6</v>
      </c>
      <c r="F19" s="1155">
        <v>27</v>
      </c>
      <c r="G19" s="1155">
        <v>29</v>
      </c>
      <c r="H19" s="1155">
        <v>25</v>
      </c>
      <c r="I19" s="1155">
        <v>5</v>
      </c>
      <c r="J19" s="1155">
        <v>6</v>
      </c>
      <c r="K19" s="1155">
        <v>41</v>
      </c>
      <c r="L19" s="1155">
        <v>42</v>
      </c>
      <c r="M19" s="1155">
        <v>41</v>
      </c>
      <c r="N19" s="1631">
        <v>89</v>
      </c>
      <c r="O19" s="500">
        <v>3</v>
      </c>
      <c r="P19" s="500">
        <v>8</v>
      </c>
      <c r="Q19" s="1155">
        <v>23</v>
      </c>
    </row>
  </sheetData>
  <sheetProtection formatColumns="0" formatRows="0" autoFilter="0" sort="0" insertRows="0" insertColumns="1" deleteRows="0" deleteColumns="0"/>
  <mergeCells count="20">
    <mergeCell ref="N13:N15"/>
    <mergeCell ref="E10:M10"/>
    <mergeCell ref="E7:M7"/>
    <mergeCell ref="N10:N12"/>
    <mergeCell ref="I11:K12"/>
    <mergeCell ref="L11:L12"/>
    <mergeCell ref="M11:M12"/>
    <mergeCell ref="E11:E12"/>
    <mergeCell ref="F11:F12"/>
    <mergeCell ref="I9:K9"/>
    <mergeCell ref="H13:H14"/>
    <mergeCell ref="G11:H11"/>
    <mergeCell ref="E2:E3"/>
    <mergeCell ref="F2:F3"/>
    <mergeCell ref="G2:G3"/>
    <mergeCell ref="H2:H3"/>
    <mergeCell ref="A13:A15"/>
    <mergeCell ref="F13:F14"/>
    <mergeCell ref="G13:G14"/>
    <mergeCell ref="E13:E14"/>
  </mergeCells>
  <dataValidations count="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 sqref="M4">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L4">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E0CCB79-5031-DA67-FE0B-72EE6EFB4724}" mc:Ignorable="x14ac xr xr2 xr3">
  <sheetPr>
    <tabColor rgb="FFEAEBEE"/>
    <pageSetUpPr fitToPage="1"/>
  </sheetPr>
  <dimension ref="A1:M16"/>
  <sheetViews>
    <sheetView showGridLines="0" zoomScale="90" workbookViewId="0">
      <pane xSplit="4" ySplit="11" topLeftCell="E12" activePane="bottomRight" state="frozen"/>
      <selection pane="bottomLeft" activeCell="A12" sqref="A12"/>
      <selection pane="topRight" activeCell="E1" sqref="E1"/>
      <selection pane="bottomRight" activeCell="A1" sqref="A1"/>
    </sheetView>
  </sheetViews>
  <sheetFormatPr defaultColWidth="9.140625" customHeight="1" defaultRowHeight="14.25"/>
  <cols>
    <col min="1" max="1" style="358" width="9.140625" hidden="1"/>
    <col min="2" max="2" style="1823" width="9.140625" hidden="1"/>
    <col min="3" max="3" style="120" width="3.00390625" customWidth="1"/>
    <col min="4" max="4" style="1823" width="6.00390625" customWidth="1"/>
    <col min="5" max="5" style="1823" width="22.00390625" customWidth="1"/>
    <col min="6" max="6" style="1823" width="15.00390625" customWidth="1"/>
    <col min="7" max="7" style="1823" width="14.00390625" customWidth="1"/>
    <col min="8" max="8" style="1823" width="47.00390625" customWidth="1"/>
    <col min="9" max="9" style="1823" width="115.00390625" customWidth="1"/>
    <col min="10" max="10" style="1823" width="3.00390625" customWidth="1"/>
    <col min="11" max="12" style="1823" width="8.00390625" customWidth="1"/>
    <col min="13" max="13" style="1823" width="9.140625" hidden="1"/>
  </cols>
  <sheetData>
    <row customHeight="1" ht="14.25" hidden="1">
      <c r="M1" s="121" t="s">
        <v>14</v>
      </c>
    </row>
    <row customHeight="1" ht="14.25" hidden="1">
      <c r="M2" s="121">
        <v>0</v>
      </c>
    </row>
    <row customHeight="1" ht="14.25" hidden="1">
      <c r="M3" s="121">
        <v>0</v>
      </c>
    </row>
    <row customHeight="1" ht="3">
      <c r="M4" s="121">
        <v>3</v>
      </c>
    </row>
    <row s="1635" customFormat="1" customHeight="1" ht="31.5">
      <c r="A5" s="115"/>
      <c r="C5" s="90"/>
      <c r="D5" s="2100" t="s">
        <v>1888</v>
      </c>
      <c r="E5" s="2100"/>
      <c r="F5" s="2100"/>
      <c r="G5" s="2100"/>
      <c r="H5" s="2100"/>
      <c r="I5" s="265"/>
      <c r="M5" s="83">
        <v>30</v>
      </c>
    </row>
    <row customHeight="1" ht="3" hidden="1">
      <c r="D6" s="122"/>
      <c r="E6" s="122"/>
      <c r="F6" s="122"/>
      <c r="G6" s="122"/>
      <c r="H6" s="122"/>
      <c r="I6" s="122"/>
      <c r="M6" s="121">
        <v>0</v>
      </c>
    </row>
    <row s="358" customFormat="1" customHeight="1" ht="14.699999999999998">
      <c r="B7" s="119"/>
      <c r="C7" s="120"/>
      <c r="D7" s="123"/>
      <c r="E7" s="123"/>
      <c r="F7" s="123"/>
      <c r="G7" s="123"/>
      <c r="H7" s="752"/>
      <c r="I7" s="123"/>
      <c r="J7" s="124"/>
      <c r="M7" s="118">
        <v>14</v>
      </c>
    </row>
    <row customHeight="1" ht="14.699999999999998">
      <c r="D8" s="2209" t="s">
        <v>302</v>
      </c>
      <c r="E8" s="2209"/>
      <c r="F8" s="2209"/>
      <c r="G8" s="2209"/>
      <c r="H8" s="2209"/>
      <c r="I8" s="2209" t="s">
        <v>303</v>
      </c>
      <c r="M8" s="121">
        <v>14</v>
      </c>
    </row>
    <row customHeight="1" ht="29.25">
      <c r="D9" s="2209" t="s">
        <v>88</v>
      </c>
      <c r="E9" s="2209" t="s">
        <v>1889</v>
      </c>
      <c r="F9" s="2209"/>
      <c r="G9" s="2209"/>
      <c r="H9" s="2209"/>
      <c r="I9" s="2209"/>
      <c r="M9" s="121">
        <v>28</v>
      </c>
    </row>
    <row customHeight="1" ht="24">
      <c r="D10" s="2209"/>
      <c r="E10" s="127" t="s">
        <v>1890</v>
      </c>
      <c r="F10" s="127" t="s">
        <v>1891</v>
      </c>
      <c r="G10" s="127" t="s">
        <v>1892</v>
      </c>
      <c r="H10" s="127" t="s">
        <v>392</v>
      </c>
      <c r="I10" s="2209"/>
      <c r="M10" s="121">
        <v>23</v>
      </c>
    </row>
    <row customHeight="1" ht="12" hidden="1">
      <c r="D11" s="87" t="s">
        <v>109</v>
      </c>
      <c r="E11" s="87" t="s">
        <v>91</v>
      </c>
      <c r="F11" s="87" t="s">
        <v>111</v>
      </c>
      <c r="G11" s="87" t="s">
        <v>92</v>
      </c>
      <c r="H11" s="87" t="s">
        <v>93</v>
      </c>
      <c r="I11" s="87" t="s">
        <v>112</v>
      </c>
      <c r="M11" s="121">
        <v>0</v>
      </c>
    </row>
    <row s="1823" customFormat="1" customHeight="1" ht="26.25">
      <c r="A12" s="145" t="s">
        <v>90</v>
      </c>
      <c r="B12" s="125" t="s">
        <v>22</v>
      </c>
      <c r="C12" s="126"/>
      <c r="D12" s="128" t="s">
        <v>109</v>
      </c>
      <c r="E12" s="381"/>
      <c r="F12" s="381"/>
      <c r="G12" s="1734" t="s">
        <v>22</v>
      </c>
      <c r="H12" s="382"/>
      <c r="I12" s="2169" t="s">
        <v>1893</v>
      </c>
      <c r="K12" s="272"/>
      <c r="L12" s="273"/>
      <c r="M12" s="117">
        <v>25</v>
      </c>
    </row>
    <row customHeight="1" ht="15.75">
      <c r="A13" s="121"/>
      <c r="B13" s="121"/>
      <c r="C13" s="121"/>
      <c r="D13" s="109"/>
      <c r="E13" s="130" t="s">
        <v>470</v>
      </c>
      <c r="F13" s="129"/>
      <c r="G13" s="129"/>
      <c r="H13" s="214"/>
      <c r="I13" s="2171"/>
      <c r="M13" s="121">
        <v>15</v>
      </c>
    </row>
    <row customHeight="1" ht="3">
      <c r="A14" s="121"/>
      <c r="B14" s="121"/>
      <c r="C14" s="121"/>
      <c r="M14" s="121">
        <v>3</v>
      </c>
    </row>
    <row customHeight="1" ht="29.25">
      <c r="E15" s="2496" t="s">
        <v>1894</v>
      </c>
      <c r="F15" s="2496"/>
      <c r="G15" s="2496"/>
      <c r="H15" s="2496"/>
      <c r="M15" s="121">
        <v>28</v>
      </c>
    </row>
    <row customHeight="1" ht="14.25" hidden="1">
      <c r="A16" s="118" t="s">
        <v>82</v>
      </c>
      <c r="B16" s="119">
        <v>0</v>
      </c>
      <c r="C16" s="120">
        <v>3</v>
      </c>
      <c r="D16" s="121">
        <v>6</v>
      </c>
      <c r="E16" s="121">
        <v>22</v>
      </c>
      <c r="F16" s="121">
        <v>15</v>
      </c>
      <c r="G16" s="121">
        <v>14</v>
      </c>
      <c r="H16" s="121">
        <v>47</v>
      </c>
      <c r="I16" s="121">
        <v>115</v>
      </c>
      <c r="J16" s="121">
        <v>3</v>
      </c>
      <c r="K16" s="121">
        <v>8</v>
      </c>
      <c r="L16" s="121">
        <v>8</v>
      </c>
      <c r="M16" s="121">
        <v>14</v>
      </c>
    </row>
  </sheetData>
  <sheetProtection formatColumns="0" formatRows="0" autoFilter="0" sort="0" insertRows="0" insertColumns="1" deleteRows="0" deleteColumns="0"/>
  <mergeCells count="7">
    <mergeCell ref="E15:H15"/>
    <mergeCell ref="D5:H5"/>
    <mergeCell ref="I12:I13"/>
    <mergeCell ref="D8:H8"/>
    <mergeCell ref="I8:I10"/>
    <mergeCell ref="E9:H9"/>
    <mergeCell ref="D9:D10"/>
  </mergeCells>
  <dataValidations count="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1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12">
      <formula1>900</formula1>
    </dataValidation>
    <dataValidation type="textLength" operator="lessThanOrEqual" allowBlank="1" showInputMessage="1" showErrorMessage="1" errorTitle="Ошибка" error="Допускается ввод не более 900 символов!" sqref="E12:F12">
      <formula1>900</formula1>
    </dataValidation>
  </dataValidations>
  <printOptions horizontalCentered="1"/>
  <pageMargins left="0.24" right="0.24" top="0.24" bottom="0.24" header="0.24" footer="0.24"/>
  <pageSetup paperSize="9" scale="70" fitToHeight="0" pageOrder="downThenOver" orientation="landscape"/>
  <headerFooter>
    <oddHeader>&amp;L&amp;C&amp;R</oddHeader>
    <oddFooter>&amp;L&amp;C&amp;R</oddFooter>
    <evenHeader>&amp;L&amp;C&amp;R</evenHeader>
    <evenFooter>&amp;L&amp;C&amp;R</evenFooter>
  </headerFooter>
</worksheet>
</file>

<file path=xl/worksheets/sheet5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9E2E7C6-AA6E-ECA2-075B-E4DF2A395A4D}" mc:Ignorable="x14ac xr xr2 xr3">
  <sheetPr>
    <tabColor rgb="FFCCCCFF"/>
    <pageSetUpPr fitToPage="1"/>
  </sheetPr>
  <dimension ref="A1:J16"/>
  <sheetViews>
    <sheetView showGridLines="0" zoomScale="90" workbookViewId="0">
      <pane xSplit="4" ySplit="11" topLeftCell="E12" activePane="bottomRight" state="frozen"/>
      <selection pane="bottomLeft" activeCell="A12" sqref="A12"/>
      <selection pane="topRight" activeCell="E1" sqref="E1"/>
      <selection pane="bottomRight" activeCell="A1" sqref="A1"/>
    </sheetView>
  </sheetViews>
  <sheetFormatPr defaultColWidth="9.140625" customHeight="1" defaultRowHeight="14.25"/>
  <cols>
    <col min="1" max="2" style="264" width="9.140625" hidden="1"/>
    <col min="3" max="3" style="91" width="3.00390625" customWidth="1"/>
    <col min="4" max="4" style="264" width="6.00390625" customWidth="1"/>
    <col min="5" max="5" style="264" width="94.00390625" customWidth="1"/>
    <col min="6" max="9" style="264" width="8.00390625" customWidth="1"/>
    <col min="10" max="10" style="264" width="9.140625" hidden="1"/>
  </cols>
  <sheetData>
    <row customHeight="1" ht="14.25" hidden="1">
      <c r="J1" s="69" t="s">
        <v>14</v>
      </c>
    </row>
    <row customHeight="1" ht="14.25" hidden="1">
      <c r="J2" s="69">
        <v>0</v>
      </c>
    </row>
    <row customHeight="1" ht="14.25" hidden="1">
      <c r="J3" s="69">
        <v>0</v>
      </c>
    </row>
    <row customHeight="1" ht="14.25" hidden="1">
      <c r="J4" s="69">
        <v>0</v>
      </c>
    </row>
    <row customHeight="1" ht="14.25" hidden="1">
      <c r="J5" s="69">
        <v>0</v>
      </c>
    </row>
    <row customHeight="1" ht="3">
      <c r="C6" s="92"/>
      <c r="D6" s="70"/>
      <c r="E6" s="70"/>
      <c r="J6" s="69">
        <v>3</v>
      </c>
    </row>
    <row customHeight="1" ht="23.25">
      <c r="C7" s="92"/>
      <c r="D7" s="2497" t="s">
        <v>1895</v>
      </c>
      <c r="E7" s="2498"/>
      <c r="F7" s="267"/>
      <c r="J7" s="69">
        <v>22</v>
      </c>
    </row>
    <row customHeight="1" ht="3">
      <c r="C8" s="92"/>
      <c r="D8" s="70"/>
      <c r="E8" s="70"/>
      <c r="J8" s="69">
        <v>3</v>
      </c>
    </row>
    <row customHeight="1" ht="16.8">
      <c r="C9" s="92"/>
      <c r="D9" s="105" t="s">
        <v>88</v>
      </c>
      <c r="E9" s="260" t="s">
        <v>1896</v>
      </c>
      <c r="J9" s="69">
        <v>16</v>
      </c>
    </row>
    <row customHeight="1" ht="1.05">
      <c r="C10" s="92"/>
      <c r="D10" s="87"/>
      <c r="E10" s="87"/>
      <c r="J10" s="69">
        <v>1</v>
      </c>
    </row>
    <row customHeight="1" ht="11.25" hidden="1">
      <c r="C11" s="92"/>
      <c r="D11" s="150">
        <v>0</v>
      </c>
      <c r="E11" s="261"/>
      <c r="J11" s="69">
        <v>0</v>
      </c>
    </row>
    <row customHeight="1" ht="15.75">
      <c r="C12" s="136"/>
      <c r="D12" s="113">
        <v>1</v>
      </c>
      <c r="E12" s="377"/>
      <c r="J12" s="69">
        <v>15</v>
      </c>
    </row>
    <row customHeight="1" ht="12.75">
      <c r="C13" s="92"/>
      <c r="D13" s="262"/>
      <c r="E13" s="263" t="s">
        <v>1897</v>
      </c>
      <c r="J13" s="69">
        <v>12</v>
      </c>
    </row>
    <row customHeight="1" ht="3">
      <c r="J14" s="69">
        <v>3</v>
      </c>
    </row>
    <row customHeight="1" ht="23.25">
      <c r="C15" s="137"/>
      <c r="D15" s="2499" t="s">
        <v>1898</v>
      </c>
      <c r="E15" s="2499"/>
      <c r="F15" s="138"/>
      <c r="G15" s="138"/>
      <c r="H15" s="138"/>
      <c r="I15" s="138"/>
      <c r="J15" s="69">
        <v>22</v>
      </c>
    </row>
    <row customHeight="1" ht="14.25" hidden="1">
      <c r="A16" s="69" t="s">
        <v>82</v>
      </c>
      <c r="B16" s="69">
        <v>0</v>
      </c>
      <c r="C16" s="91">
        <v>3</v>
      </c>
      <c r="D16" s="69">
        <v>6</v>
      </c>
      <c r="E16" s="69">
        <v>94</v>
      </c>
      <c r="F16" s="69">
        <v>8</v>
      </c>
      <c r="G16" s="69">
        <v>8</v>
      </c>
      <c r="H16" s="69">
        <v>8</v>
      </c>
      <c r="I16" s="69">
        <v>8</v>
      </c>
      <c r="J16" s="69">
        <v>14</v>
      </c>
    </row>
  </sheetData>
  <sheetProtection formatColumns="0" formatRows="0" sort="0" autoFilter="0" insertRows="0" insertColumns="1" deleteRows="0" deleteColumns="0"/>
  <mergeCells count="2">
    <mergeCell ref="D7:E7"/>
    <mergeCell ref="D15:E15"/>
  </mergeCells>
  <dataValidations count="1">
    <dataValidation type="textLength" operator="lessThanOrEqual" allowBlank="1" showInputMessage="1" showErrorMessage="1" errorTitle="Ошибка" error="Допускается ввод не более 900 символов!" sqref="E11:E12">
      <formula1>900</formula1>
    </dataValidation>
  </dataValidations>
  <pageMargins left="0.75" right="0.75" top="1.00" bottom="1.00" header="0.50" footer="0.50"/>
  <pageSetup paperSize="9" scale="94" pageOrder="downThenOver" orientation="portrait"/>
  <headerFooter>
    <oddHeader>&amp;L&amp;C&amp;R</oddHeader>
    <oddFooter>&amp;L&amp;C&amp;R</oddFooter>
    <evenHeader>&amp;L&amp;C&amp;R</evenHeader>
    <evenFooter>&amp;L&amp;C&amp;R</evenFooter>
  </headerFooter>
</worksheet>
</file>

<file path=xl/worksheets/sheet5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BC7446D-802C-7D2C-FA91-6B656B338C9B}" mc:Ignorable="x14ac xr xr2 xr3">
  <sheetPr>
    <tabColor rgb="FFCCCCFF"/>
    <pageSetUpPr fitToPage="1"/>
  </sheetPr>
  <dimension ref="A1:M13"/>
  <sheetViews>
    <sheetView topLeftCell="C6" showGridLines="0" zoomScale="90" workbookViewId="0">
      <selection activeCell="A1" sqref="A1"/>
    </sheetView>
  </sheetViews>
  <sheetFormatPr defaultColWidth="9.140625" customHeight="1" defaultRowHeight="14.25"/>
  <cols>
    <col min="1" max="2" style="264" width="9.140625" hidden="1"/>
    <col min="3" max="3" style="91" width="3.00390625" customWidth="1"/>
    <col min="4" max="4" style="264" width="6.00390625" customWidth="1"/>
    <col min="5" max="5" style="264" width="94.00390625" customWidth="1"/>
    <col min="6" max="12" style="264" width="8.00390625" customWidth="1"/>
    <col min="13" max="13" style="264" width="9.140625" hidden="1"/>
  </cols>
  <sheetData>
    <row customHeight="1" ht="14.25" hidden="1">
      <c r="L1" s="264"/>
      <c r="M1" s="69" t="s">
        <v>14</v>
      </c>
    </row>
    <row customHeight="1" ht="14.25" hidden="1">
      <c r="M2" s="69">
        <v>0</v>
      </c>
    </row>
    <row customHeight="1" ht="14.25" hidden="1">
      <c r="M3" s="69">
        <v>0</v>
      </c>
    </row>
    <row customHeight="1" ht="14.25" hidden="1">
      <c r="M4" s="69">
        <v>0</v>
      </c>
    </row>
    <row customHeight="1" ht="14.25" hidden="1">
      <c r="M5" s="69">
        <v>0</v>
      </c>
    </row>
    <row customHeight="1" ht="3">
      <c r="C6" s="92"/>
      <c r="D6" s="70"/>
      <c r="E6" s="70"/>
      <c r="M6" s="69">
        <v>3</v>
      </c>
    </row>
    <row customHeight="1" ht="23.25">
      <c r="C7" s="92"/>
      <c r="D7" s="2100" t="s">
        <v>1899</v>
      </c>
      <c r="E7" s="2100"/>
      <c r="F7" s="267"/>
      <c r="M7" s="69">
        <v>22</v>
      </c>
    </row>
    <row customHeight="1" ht="3">
      <c r="C8" s="92"/>
      <c r="D8" s="70"/>
      <c r="E8" s="70"/>
      <c r="M8" s="69">
        <v>3</v>
      </c>
    </row>
    <row customHeight="1" ht="16.8">
      <c r="C9" s="92"/>
      <c r="D9" s="105" t="s">
        <v>88</v>
      </c>
      <c r="E9" s="108" t="s">
        <v>289</v>
      </c>
      <c r="M9" s="69">
        <v>16</v>
      </c>
    </row>
    <row customHeight="1" ht="12.75">
      <c r="C10" s="92"/>
      <c r="D10" s="87" t="s">
        <v>109</v>
      </c>
      <c r="E10" s="87" t="s">
        <v>110</v>
      </c>
      <c r="M10" s="69">
        <v>12</v>
      </c>
    </row>
    <row customHeight="1" ht="15" hidden="1">
      <c r="C11" s="92"/>
      <c r="D11" s="113">
        <v>0</v>
      </c>
      <c r="E11" s="149"/>
      <c r="M11" s="69">
        <v>0</v>
      </c>
    </row>
    <row customHeight="1" ht="14.699999999999998">
      <c r="C12" s="92"/>
      <c r="D12" s="109"/>
      <c r="E12" s="107" t="s">
        <v>1897</v>
      </c>
      <c r="M12" s="69">
        <v>14</v>
      </c>
    </row>
    <row customHeight="1" ht="14.25" hidden="1">
      <c r="A13" s="69" t="s">
        <v>82</v>
      </c>
      <c r="B13" s="69">
        <v>0</v>
      </c>
      <c r="C13" s="91">
        <v>3</v>
      </c>
      <c r="D13" s="69">
        <v>6</v>
      </c>
      <c r="E13" s="69">
        <v>94</v>
      </c>
      <c r="F13" s="69">
        <v>8</v>
      </c>
      <c r="G13" s="69">
        <v>8</v>
      </c>
      <c r="H13" s="69">
        <v>8</v>
      </c>
      <c r="I13" s="69">
        <v>8</v>
      </c>
      <c r="J13" s="69">
        <v>8</v>
      </c>
      <c r="K13" s="69">
        <v>8</v>
      </c>
      <c r="L13" s="69">
        <v>8</v>
      </c>
      <c r="M13" s="69">
        <v>14</v>
      </c>
    </row>
  </sheetData>
  <sheetProtection formatColumns="0" formatRows="0" autoFilter="0" sort="0" insertRows="0" insertColumns="1" deleteRows="0" deleteColumns="0"/>
  <mergeCells count="1">
    <mergeCell ref="D7:E7"/>
  </mergeCells>
  <dataValidations count="1">
    <dataValidation type="textLength" operator="lessThanOrEqual" allowBlank="1" showInputMessage="1" showErrorMessage="1" errorTitle="Ошибка" error="Допускается ввод не более 900 символов!" sqref="E11">
      <formula1>900</formula1>
    </dataValidation>
  </dataValidations>
  <pageMargins left="0.75" right="0.75" top="1.00" bottom="1.00" header="0.50" footer="0.50"/>
  <pageSetup paperSize="9" scale="94" pageOrder="downThenOver" orientation="portrait"/>
  <headerFooter>
    <oddHeader>&amp;L&amp;C&amp;R</oddHeader>
    <oddFooter>&amp;L&amp;C&amp;R</oddFooter>
    <evenHeader>&amp;L&amp;C&amp;R</evenHeader>
    <evenFooter>&amp;L&amp;C&amp;R</evenFooter>
  </headerFooter>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0A5556B-42D3-972A-A9DD-E5B7199F41CD}" mc:Ignorable="x14ac xr xr2 xr3">
  <sheetPr>
    <tabColor rgb="FFCCCCFF"/>
  </sheetPr>
  <dimension ref="A1:BM50"/>
  <sheetViews>
    <sheetView showGridLines="0" zoomScale="90" workbookViewId="0">
      <pane xSplit="10" ySplit="10" topLeftCell="K11" activePane="bottomRight" state="frozen"/>
      <selection pane="bottomLeft" activeCell="A11" sqref="A11"/>
      <selection pane="topRight" activeCell="K1" sqref="K1"/>
      <selection pane="bottomRight" activeCell="A1" sqref="A1"/>
    </sheetView>
  </sheetViews>
  <sheetFormatPr defaultColWidth="9.140625" customHeight="1" defaultRowHeight="11.25"/>
  <cols>
    <col min="1" max="2" style="1850" width="9.140625" hidden="1"/>
    <col min="3" max="4" style="1850" width="3.00390625" customWidth="1"/>
    <col min="5" max="6" style="1850" width="15.00390625" customWidth="1"/>
    <col min="7" max="7" style="1850" width="11.57421875" customWidth="1"/>
    <col min="8" max="9" style="1850" width="3.00390625" customWidth="1"/>
    <col min="10" max="10" style="1850" width="12.00390625" customWidth="1"/>
    <col min="11" max="11" style="1850" width="0.28125" customWidth="1"/>
    <col min="12" max="13" style="1850" width="10.00390625" customWidth="1"/>
    <col min="14" max="15" style="1850" width="3.00390625" customWidth="1"/>
    <col min="16" max="16" style="1850" width="19.00390625" customWidth="1"/>
    <col min="17" max="17" style="1850" width="0.28125" customWidth="1"/>
    <col min="18" max="19" style="1850" width="10.00390625" customWidth="1"/>
    <col min="20" max="21" style="1850" width="3.00390625" customWidth="1"/>
    <col min="22" max="22" style="1850" width="25.00390625" customWidth="1"/>
    <col min="23" max="23" style="1850" width="0.28125" customWidth="1"/>
    <col min="24" max="25" style="1850" width="10.00390625" customWidth="1"/>
    <col min="26" max="27" style="1850" width="3.00390625" customWidth="1"/>
    <col min="28" max="28" style="1850" width="16.00390625" customWidth="1"/>
    <col min="29" max="29" style="1850" width="0.28125" customWidth="1"/>
    <col min="30" max="31" style="1850" width="10.00390625" customWidth="1"/>
    <col min="32" max="33" style="1850" width="3.00390625" customWidth="1"/>
    <col min="34" max="34" style="1850" width="8.00390625" customWidth="1"/>
    <col min="35" max="35" style="1850" width="21.00390625" customWidth="1"/>
    <col min="36" max="36" style="1850" width="8.00390625" customWidth="1"/>
    <col min="37" max="37" style="358" width="8.00390625" customWidth="1"/>
    <col min="38" max="64" style="1850" width="8.00390625" customWidth="1"/>
    <col min="65" max="65" style="1850" width="9.140625" hidden="1"/>
  </cols>
  <sheetData>
    <row s="1316" customFormat="1" customHeight="1" ht="11.25" hidden="1">
      <c r="AJ1" s="422"/>
      <c r="AK1" s="422"/>
      <c r="AL1" s="422"/>
      <c r="AM1" s="422"/>
      <c r="AN1" s="422"/>
      <c r="AO1" s="422"/>
      <c r="AP1" s="422"/>
      <c r="AQ1" s="422"/>
      <c r="AR1" s="422"/>
      <c r="AS1" s="422"/>
      <c r="AT1" s="422"/>
      <c r="AU1" s="422"/>
      <c r="AV1" s="422"/>
      <c r="AW1" s="422"/>
      <c r="AX1" s="422"/>
      <c r="AY1" s="422"/>
      <c r="AZ1" s="422"/>
      <c r="BA1" s="422"/>
      <c r="BB1" s="422"/>
      <c r="BC1" s="422"/>
      <c r="BD1" s="422"/>
      <c r="BE1" s="422"/>
      <c r="BF1" s="422"/>
      <c r="BG1" s="422"/>
      <c r="BH1" s="422"/>
      <c r="BI1" s="422"/>
      <c r="BJ1" s="422"/>
      <c r="BK1" s="422"/>
      <c r="BL1" s="422"/>
      <c r="BM1" s="419" t="s">
        <v>14</v>
      </c>
    </row>
    <row s="1553" customFormat="1" customHeight="1" ht="11.25" hidden="1">
      <c r="L2" s="1553" t="s">
        <v>281</v>
      </c>
      <c r="M2" s="1553" t="s">
        <v>282</v>
      </c>
      <c r="R2" s="1553" t="s">
        <v>283</v>
      </c>
      <c r="S2" s="1553" t="s">
        <v>282</v>
      </c>
      <c r="X2" s="1553" t="s">
        <v>281</v>
      </c>
      <c r="Y2" s="1553" t="s">
        <v>282</v>
      </c>
      <c r="AD2" s="1553" t="s">
        <v>281</v>
      </c>
      <c r="AE2" s="1553" t="s">
        <v>282</v>
      </c>
      <c r="AJ2" s="1575"/>
      <c r="AK2" s="1575"/>
      <c r="AL2" s="1575"/>
      <c r="AM2" s="1575"/>
      <c r="AN2" s="1575"/>
      <c r="AO2" s="1575"/>
      <c r="AP2" s="1575"/>
      <c r="AQ2" s="1575"/>
      <c r="AR2" s="1575"/>
      <c r="AS2" s="1575"/>
      <c r="AT2" s="1575"/>
      <c r="AU2" s="1575"/>
      <c r="AV2" s="1575"/>
      <c r="AW2" s="1575"/>
      <c r="AX2" s="1575"/>
      <c r="AY2" s="1575"/>
      <c r="AZ2" s="1575"/>
      <c r="BA2" s="1575"/>
      <c r="BB2" s="1575"/>
      <c r="BC2" s="1575"/>
      <c r="BD2" s="1575"/>
      <c r="BE2" s="1575"/>
      <c r="BF2" s="1575"/>
      <c r="BG2" s="1575"/>
      <c r="BH2" s="1575"/>
      <c r="BI2" s="1575"/>
      <c r="BJ2" s="1575"/>
      <c r="BK2" s="1575"/>
      <c r="BL2" s="1575"/>
      <c r="BM2" s="1553">
        <v>0</v>
      </c>
    </row>
    <row s="1554" customFormat="1" customHeight="1" ht="11.549999999999999">
      <c r="AJ3" s="1574"/>
      <c r="AK3" s="306"/>
      <c r="AL3" s="1574"/>
      <c r="AM3" s="1574"/>
      <c r="AN3" s="1574"/>
      <c r="AO3" s="1574"/>
      <c r="AP3" s="1574"/>
      <c r="AQ3" s="1574"/>
      <c r="AR3" s="1574"/>
      <c r="AS3" s="1574"/>
      <c r="AT3" s="1574"/>
      <c r="AU3" s="1574"/>
      <c r="AV3" s="1574"/>
      <c r="AW3" s="1574"/>
      <c r="AX3" s="1574"/>
      <c r="AY3" s="1574"/>
      <c r="AZ3" s="1574"/>
      <c r="BA3" s="1574"/>
      <c r="BB3" s="1574"/>
      <c r="BC3" s="1574"/>
      <c r="BD3" s="1574"/>
      <c r="BE3" s="1574"/>
      <c r="BF3" s="1574"/>
      <c r="BG3" s="1574"/>
      <c r="BH3" s="1574"/>
      <c r="BI3" s="1574"/>
      <c r="BJ3" s="1574"/>
      <c r="BK3" s="1574"/>
      <c r="BL3" s="1574"/>
      <c r="BM3" s="1554">
        <v>11</v>
      </c>
    </row>
    <row s="1819" customFormat="1" customHeight="1" ht="34.5">
      <c r="A4" s="1156"/>
      <c r="B4" s="1155"/>
      <c r="C4" s="1515"/>
      <c r="D4" s="2191" t="s">
        <v>284</v>
      </c>
      <c r="E4" s="2191"/>
      <c r="F4" s="2191"/>
      <c r="G4" s="2191"/>
      <c r="H4" s="2191"/>
      <c r="I4" s="2191"/>
      <c r="J4" s="2191"/>
      <c r="K4" s="699"/>
      <c r="T4" s="1555"/>
      <c r="AJ4" s="1576"/>
      <c r="AK4" s="1577"/>
      <c r="AL4" s="1576"/>
      <c r="AM4" s="1576"/>
      <c r="AN4" s="1576"/>
      <c r="AO4" s="1576"/>
      <c r="AP4" s="1576"/>
      <c r="AQ4" s="1576"/>
      <c r="AR4" s="1576"/>
      <c r="AS4" s="1576"/>
      <c r="AT4" s="1576"/>
      <c r="AU4" s="1576"/>
      <c r="AV4" s="1576"/>
      <c r="AW4" s="1576"/>
      <c r="AX4" s="1576"/>
      <c r="AY4" s="1576"/>
      <c r="AZ4" s="1576"/>
      <c r="BA4" s="1576"/>
      <c r="BB4" s="1576"/>
      <c r="BC4" s="1576"/>
      <c r="BD4" s="1576"/>
      <c r="BE4" s="1576"/>
      <c r="BF4" s="1576"/>
      <c r="BG4" s="1576"/>
      <c r="BH4" s="1576"/>
      <c r="BI4" s="1576"/>
      <c r="BJ4" s="1576"/>
      <c r="BK4" s="1576"/>
      <c r="BL4" s="1576"/>
      <c r="BM4" s="507">
        <v>33</v>
      </c>
    </row>
    <row s="1819" customFormat="1" customHeight="1" ht="14.699999999999998">
      <c r="A5" s="1632"/>
      <c r="B5" s="1631"/>
      <c r="C5" s="1515"/>
      <c r="D5" s="2176" t="str">
        <f>IF(org=0,"Не определено",org)</f>
        <v>ПАО "ОГК-2"</v>
      </c>
      <c r="E5" s="2176"/>
      <c r="F5" s="2176"/>
      <c r="G5" s="2176"/>
      <c r="H5" s="2176"/>
      <c r="I5" s="2176"/>
      <c r="J5" s="2176"/>
      <c r="K5" s="699"/>
      <c r="T5" s="1555"/>
      <c r="AJ5" s="1576"/>
      <c r="AK5" s="1577"/>
      <c r="AL5" s="1576"/>
      <c r="AM5" s="1576"/>
      <c r="AN5" s="1576"/>
      <c r="AO5" s="1576"/>
      <c r="AP5" s="1576"/>
      <c r="AQ5" s="1576"/>
      <c r="AR5" s="1576"/>
      <c r="AS5" s="1576"/>
      <c r="AT5" s="1576"/>
      <c r="AU5" s="1576"/>
      <c r="AV5" s="1576"/>
      <c r="AW5" s="1576"/>
      <c r="AX5" s="1576"/>
      <c r="AY5" s="1576"/>
      <c r="AZ5" s="1576"/>
      <c r="BA5" s="1576"/>
      <c r="BB5" s="1576"/>
      <c r="BC5" s="1576"/>
      <c r="BD5" s="1576"/>
      <c r="BE5" s="1576"/>
      <c r="BF5" s="1576"/>
      <c r="BG5" s="1576"/>
      <c r="BH5" s="1576"/>
      <c r="BI5" s="1576"/>
      <c r="BJ5" s="1576"/>
      <c r="BK5" s="1576"/>
      <c r="BL5" s="1576"/>
      <c r="BM5" s="1609">
        <v>14</v>
      </c>
    </row>
    <row s="1819" customFormat="1" customHeight="1" ht="14.699999999999998">
      <c r="A6" s="1156"/>
      <c r="B6" s="1155"/>
      <c r="C6" s="1515"/>
      <c r="D6" s="699"/>
      <c r="E6" s="699"/>
      <c r="F6" s="699"/>
      <c r="G6" s="699"/>
      <c r="H6" s="699"/>
      <c r="I6" s="699"/>
      <c r="J6" s="699"/>
      <c r="K6" s="699"/>
      <c r="T6" s="1555"/>
      <c r="AJ6" s="1576"/>
      <c r="AK6" s="1577"/>
      <c r="AL6" s="1576"/>
      <c r="AM6" s="1576"/>
      <c r="AN6" s="1576"/>
      <c r="AO6" s="1576"/>
      <c r="AP6" s="1576"/>
      <c r="AQ6" s="1576"/>
      <c r="AR6" s="1576"/>
      <c r="AS6" s="1576"/>
      <c r="AT6" s="1576"/>
      <c r="AU6" s="1576"/>
      <c r="AV6" s="1576"/>
      <c r="AW6" s="1576"/>
      <c r="AX6" s="1576"/>
      <c r="AY6" s="1576"/>
      <c r="AZ6" s="1576"/>
      <c r="BA6" s="1576"/>
      <c r="BB6" s="1576"/>
      <c r="BC6" s="1576"/>
      <c r="BD6" s="1576"/>
      <c r="BE6" s="1576"/>
      <c r="BF6" s="1576"/>
      <c r="BG6" s="1576"/>
      <c r="BH6" s="1576"/>
      <c r="BI6" s="1576"/>
      <c r="BJ6" s="1576"/>
      <c r="BK6" s="1576"/>
      <c r="BL6" s="1576"/>
      <c r="BM6" s="507">
        <v>14</v>
      </c>
    </row>
    <row s="1316" customFormat="1" customHeight="1" ht="1.05">
      <c r="AJ7" s="422"/>
      <c r="AK7" s="422"/>
      <c r="AL7" s="422"/>
      <c r="AM7" s="422"/>
      <c r="AN7" s="422"/>
      <c r="AO7" s="422"/>
      <c r="AP7" s="422"/>
      <c r="AQ7" s="422"/>
      <c r="AR7" s="422"/>
      <c r="AS7" s="422"/>
      <c r="AT7" s="422"/>
      <c r="AU7" s="422"/>
      <c r="AV7" s="422"/>
      <c r="AW7" s="422"/>
      <c r="AX7" s="422"/>
      <c r="AY7" s="422"/>
      <c r="AZ7" s="422"/>
      <c r="BA7" s="422"/>
      <c r="BB7" s="422"/>
      <c r="BC7" s="422"/>
      <c r="BD7" s="422"/>
      <c r="BE7" s="422"/>
      <c r="BF7" s="422"/>
      <c r="BG7" s="422"/>
      <c r="BH7" s="422"/>
      <c r="BI7" s="422"/>
      <c r="BJ7" s="422"/>
      <c r="BK7" s="422"/>
      <c r="BL7" s="422"/>
      <c r="BM7" s="419">
        <v>1</v>
      </c>
    </row>
    <row customHeight="1" ht="33.75">
      <c r="D8" s="2127" t="s">
        <v>88</v>
      </c>
      <c r="E8" s="2127" t="s">
        <v>105</v>
      </c>
      <c r="F8" s="2192" t="s">
        <v>126</v>
      </c>
      <c r="G8" s="2193"/>
      <c r="H8" s="2192" t="s">
        <v>88</v>
      </c>
      <c r="I8" s="2193"/>
      <c r="J8" s="2127" t="s">
        <v>127</v>
      </c>
      <c r="K8" s="1556"/>
      <c r="L8" s="2196" t="s">
        <v>285</v>
      </c>
      <c r="M8" s="2196"/>
      <c r="N8" s="2196"/>
      <c r="O8" s="2196"/>
      <c r="P8" s="2196"/>
      <c r="Q8" s="1557"/>
      <c r="R8" s="2096" t="s">
        <v>286</v>
      </c>
      <c r="S8" s="2197"/>
      <c r="T8" s="2197"/>
      <c r="U8" s="2197"/>
      <c r="V8" s="2197"/>
      <c r="W8" s="1557"/>
      <c r="X8" s="2198" t="s">
        <v>287</v>
      </c>
      <c r="Y8" s="2198"/>
      <c r="Z8" s="2198"/>
      <c r="AA8" s="2198"/>
      <c r="AB8" s="2198"/>
      <c r="AC8" s="1558"/>
      <c r="AD8" s="2127" t="s">
        <v>288</v>
      </c>
      <c r="AE8" s="2127"/>
      <c r="AF8" s="2127"/>
      <c r="AG8" s="2127"/>
      <c r="AH8" s="2101"/>
      <c r="AI8" s="2127" t="s">
        <v>289</v>
      </c>
      <c r="AJ8" s="1574"/>
      <c r="BM8" s="293">
        <v>32</v>
      </c>
    </row>
    <row customHeight="1" ht="23.25">
      <c r="D9" s="2127"/>
      <c r="E9" s="2127"/>
      <c r="F9" s="2175" t="s">
        <v>89</v>
      </c>
      <c r="G9" s="2175" t="s">
        <v>132</v>
      </c>
      <c r="H9" s="2194"/>
      <c r="I9" s="2195"/>
      <c r="J9" s="2101"/>
      <c r="K9" s="1559"/>
      <c r="L9" s="2127" t="s">
        <v>290</v>
      </c>
      <c r="M9" s="2101"/>
      <c r="N9" s="2192" t="s">
        <v>88</v>
      </c>
      <c r="O9" s="2193"/>
      <c r="P9" s="2127" t="s">
        <v>133</v>
      </c>
      <c r="Q9" s="1556"/>
      <c r="R9" s="2127" t="s">
        <v>290</v>
      </c>
      <c r="S9" s="2101"/>
      <c r="T9" s="2192" t="s">
        <v>88</v>
      </c>
      <c r="U9" s="2193"/>
      <c r="V9" s="2127" t="s">
        <v>133</v>
      </c>
      <c r="W9" s="1556"/>
      <c r="X9" s="2127" t="s">
        <v>290</v>
      </c>
      <c r="Y9" s="2101"/>
      <c r="Z9" s="2192" t="s">
        <v>88</v>
      </c>
      <c r="AA9" s="2193"/>
      <c r="AB9" s="2127" t="s">
        <v>291</v>
      </c>
      <c r="AC9" s="1556"/>
      <c r="AD9" s="2127" t="s">
        <v>290</v>
      </c>
      <c r="AE9" s="2101"/>
      <c r="AF9" s="2192" t="s">
        <v>88</v>
      </c>
      <c r="AG9" s="2193"/>
      <c r="AH9" s="2101" t="s">
        <v>291</v>
      </c>
      <c r="AI9" s="2127"/>
      <c r="AJ9" s="1574"/>
      <c r="BM9" s="293">
        <v>22</v>
      </c>
    </row>
    <row customHeight="1" ht="24">
      <c r="D10" s="2175"/>
      <c r="E10" s="2175"/>
      <c r="F10" s="2199"/>
      <c r="G10" s="2199"/>
      <c r="H10" s="2200"/>
      <c r="I10" s="2201"/>
      <c r="J10" s="2192"/>
      <c r="K10" s="1559"/>
      <c r="L10" s="1578" t="s">
        <v>292</v>
      </c>
      <c r="M10" s="1573" t="s">
        <v>293</v>
      </c>
      <c r="N10" s="2194"/>
      <c r="O10" s="2195"/>
      <c r="P10" s="2175"/>
      <c r="Q10" s="1556"/>
      <c r="R10" s="1578" t="s">
        <v>292</v>
      </c>
      <c r="S10" s="1573" t="s">
        <v>293</v>
      </c>
      <c r="T10" s="2194"/>
      <c r="U10" s="2195"/>
      <c r="V10" s="2175"/>
      <c r="W10" s="1556"/>
      <c r="X10" s="1578" t="s">
        <v>292</v>
      </c>
      <c r="Y10" s="1573" t="s">
        <v>293</v>
      </c>
      <c r="Z10" s="2194"/>
      <c r="AA10" s="2195"/>
      <c r="AB10" s="2175"/>
      <c r="AC10" s="1556"/>
      <c r="AD10" s="1578" t="s">
        <v>292</v>
      </c>
      <c r="AE10" s="1573" t="s">
        <v>293</v>
      </c>
      <c r="AF10" s="2194"/>
      <c r="AG10" s="2195"/>
      <c r="AH10" s="2192"/>
      <c r="AI10" s="2175"/>
      <c r="AJ10" s="1574"/>
      <c r="AK10" s="254" t="s">
        <v>294</v>
      </c>
      <c r="AL10" s="254" t="s">
        <v>134</v>
      </c>
      <c r="BM10" s="293">
        <v>23</v>
      </c>
    </row>
    <row customHeight="1" ht="15">
      <c r="D11" s="2183" t="s">
        <v>109</v>
      </c>
      <c r="E11" s="2179" t="s">
        <v>295</v>
      </c>
      <c r="F11" s="2179" t="s">
        <v>296</v>
      </c>
      <c r="G11" s="2185" t="s">
        <v>19</v>
      </c>
      <c r="H11" s="1599"/>
      <c r="I11" s="2181"/>
      <c r="J11" s="2152"/>
      <c r="K11" s="1514"/>
      <c r="L11" s="2137"/>
      <c r="M11" s="2137"/>
      <c r="N11" s="1584"/>
      <c r="O11" s="2137"/>
      <c r="P11" s="2152"/>
      <c r="Q11" s="1585"/>
      <c r="R11" s="2137"/>
      <c r="S11" s="2137"/>
      <c r="T11" s="1586"/>
      <c r="U11" s="2137"/>
      <c r="V11" s="2152"/>
      <c r="W11" s="1587"/>
      <c r="X11" s="2137"/>
      <c r="Y11" s="2137"/>
      <c r="Z11" s="1584"/>
      <c r="AA11" s="2137"/>
      <c r="AB11" s="2152"/>
      <c r="AC11" s="1588"/>
      <c r="AD11" s="2137"/>
      <c r="AE11" s="2137"/>
      <c r="AF11" s="1513"/>
      <c r="AG11" s="1513"/>
      <c r="AH11" s="1589"/>
      <c r="AI11" s="1296"/>
      <c r="AJ11" s="1574"/>
      <c r="BM11" s="293">
        <v>14</v>
      </c>
    </row>
    <row customHeight="1" ht="14.699999999999998">
      <c r="D12" s="2183"/>
      <c r="E12" s="2179"/>
      <c r="F12" s="2179"/>
      <c r="G12" s="2186"/>
      <c r="H12" s="1600"/>
      <c r="I12" s="2182"/>
      <c r="J12" s="2153"/>
      <c r="K12" s="1610"/>
      <c r="L12" s="2138"/>
      <c r="M12" s="2138"/>
      <c r="N12" s="1590"/>
      <c r="O12" s="2138"/>
      <c r="P12" s="2153"/>
      <c r="Q12" s="1591"/>
      <c r="R12" s="2138"/>
      <c r="S12" s="2138"/>
      <c r="T12" s="1592"/>
      <c r="U12" s="2138"/>
      <c r="V12" s="2153"/>
      <c r="W12" s="1593"/>
      <c r="X12" s="2138"/>
      <c r="Y12" s="2138"/>
      <c r="Z12" s="1590"/>
      <c r="AA12" s="2138"/>
      <c r="AB12" s="2153"/>
      <c r="AC12" s="1594"/>
      <c r="AD12" s="2138"/>
      <c r="AE12" s="2138"/>
      <c r="AF12" s="1595"/>
      <c r="AG12" s="1595"/>
      <c r="AH12" s="2177"/>
      <c r="AI12" s="2178"/>
      <c r="AJ12" s="1574"/>
      <c r="BM12" s="293">
        <v>14</v>
      </c>
    </row>
    <row customHeight="1" ht="14.699999999999998">
      <c r="D13" s="2183"/>
      <c r="E13" s="2179"/>
      <c r="F13" s="2179"/>
      <c r="G13" s="2186"/>
      <c r="H13" s="1600"/>
      <c r="I13" s="2182"/>
      <c r="J13" s="2153"/>
      <c r="K13" s="1610"/>
      <c r="L13" s="2138"/>
      <c r="M13" s="2138"/>
      <c r="N13" s="1590"/>
      <c r="O13" s="2138"/>
      <c r="P13" s="2153"/>
      <c r="Q13" s="1591"/>
      <c r="R13" s="2138"/>
      <c r="S13" s="2138"/>
      <c r="T13" s="1592"/>
      <c r="U13" s="2138"/>
      <c r="V13" s="2153"/>
      <c r="W13" s="1593"/>
      <c r="X13" s="2138"/>
      <c r="Y13" s="2138"/>
      <c r="Z13" s="1512"/>
      <c r="AA13" s="1595"/>
      <c r="AB13" s="2177"/>
      <c r="AC13" s="2177"/>
      <c r="AD13" s="2177"/>
      <c r="AE13" s="2177"/>
      <c r="AF13" s="2177"/>
      <c r="AG13" s="2177"/>
      <c r="AH13" s="2177"/>
      <c r="AI13" s="2178"/>
      <c r="AJ13" s="1574"/>
      <c r="BM13" s="293">
        <v>14</v>
      </c>
    </row>
    <row customHeight="1" ht="14.699999999999998">
      <c r="D14" s="2183"/>
      <c r="E14" s="2179"/>
      <c r="F14" s="2179"/>
      <c r="G14" s="2186"/>
      <c r="H14" s="1600"/>
      <c r="I14" s="2182"/>
      <c r="J14" s="2153"/>
      <c r="K14" s="1610"/>
      <c r="L14" s="2138"/>
      <c r="M14" s="2138"/>
      <c r="N14" s="1590"/>
      <c r="O14" s="2138"/>
      <c r="P14" s="2153"/>
      <c r="Q14" s="1591"/>
      <c r="R14" s="2138"/>
      <c r="S14" s="2138"/>
      <c r="T14" s="1596"/>
      <c r="U14" s="1597"/>
      <c r="V14" s="2177"/>
      <c r="W14" s="2177"/>
      <c r="X14" s="2177"/>
      <c r="Y14" s="2177"/>
      <c r="Z14" s="2177"/>
      <c r="AA14" s="2177"/>
      <c r="AB14" s="2177"/>
      <c r="AC14" s="2177"/>
      <c r="AD14" s="2177"/>
      <c r="AE14" s="2177"/>
      <c r="AF14" s="2177"/>
      <c r="AG14" s="2177"/>
      <c r="AH14" s="2177"/>
      <c r="AI14" s="2178"/>
      <c r="AJ14" s="1574"/>
      <c r="BM14" s="293">
        <v>14</v>
      </c>
    </row>
    <row customHeight="1" ht="11.549999999999999">
      <c r="D15" s="2183"/>
      <c r="E15" s="2179"/>
      <c r="F15" s="2179"/>
      <c r="G15" s="2186"/>
      <c r="H15" s="1601"/>
      <c r="I15" s="2182"/>
      <c r="J15" s="2153"/>
      <c r="K15" s="1610"/>
      <c r="L15" s="2138"/>
      <c r="M15" s="2138"/>
      <c r="N15" s="1595"/>
      <c r="O15" s="1595"/>
      <c r="P15" s="2177"/>
      <c r="Q15" s="2177"/>
      <c r="R15" s="2177"/>
      <c r="S15" s="2177"/>
      <c r="T15" s="2177"/>
      <c r="U15" s="2177"/>
      <c r="V15" s="2177"/>
      <c r="W15" s="2177"/>
      <c r="X15" s="2177"/>
      <c r="Y15" s="2177"/>
      <c r="Z15" s="2177"/>
      <c r="AA15" s="2177"/>
      <c r="AB15" s="2177"/>
      <c r="AC15" s="2177"/>
      <c r="AD15" s="2177"/>
      <c r="AE15" s="2177"/>
      <c r="AF15" s="2177"/>
      <c r="AG15" s="2177"/>
      <c r="AH15" s="2177"/>
      <c r="AI15" s="2178"/>
      <c r="AJ15" s="1574"/>
      <c r="BM15" s="293">
        <v>11</v>
      </c>
    </row>
    <row s="1554" customFormat="1" customHeight="1" ht="11.549999999999999">
      <c r="D16" s="2189"/>
      <c r="E16" s="2190"/>
      <c r="F16" s="2180"/>
      <c r="G16" s="2112"/>
      <c r="H16" s="1598"/>
      <c r="I16" s="1602"/>
      <c r="J16" s="2187"/>
      <c r="K16" s="2187"/>
      <c r="L16" s="2187"/>
      <c r="M16" s="2187"/>
      <c r="N16" s="2187"/>
      <c r="O16" s="2187"/>
      <c r="P16" s="2187"/>
      <c r="Q16" s="2187"/>
      <c r="R16" s="2187"/>
      <c r="S16" s="2187"/>
      <c r="T16" s="2187"/>
      <c r="U16" s="2187"/>
      <c r="V16" s="2187"/>
      <c r="W16" s="2187"/>
      <c r="X16" s="2187"/>
      <c r="Y16" s="2187"/>
      <c r="Z16" s="2187"/>
      <c r="AA16" s="2187"/>
      <c r="AB16" s="2187"/>
      <c r="AC16" s="2187"/>
      <c r="AD16" s="2187"/>
      <c r="AE16" s="2187"/>
      <c r="AF16" s="2187"/>
      <c r="AG16" s="2187"/>
      <c r="AH16" s="2187"/>
      <c r="AI16" s="2188"/>
      <c r="AJ16" s="1574"/>
      <c r="AK16" s="306"/>
      <c r="AL16" s="1574"/>
      <c r="AM16" s="1574"/>
      <c r="AN16" s="1574"/>
      <c r="AO16" s="1574"/>
      <c r="AP16" s="1574"/>
      <c r="AQ16" s="1574"/>
      <c r="AR16" s="1574"/>
      <c r="AS16" s="1574"/>
      <c r="AT16" s="1574"/>
      <c r="AU16" s="1574"/>
      <c r="AV16" s="1574"/>
      <c r="AW16" s="1574"/>
      <c r="AX16" s="1574"/>
      <c r="AY16" s="1574"/>
      <c r="AZ16" s="1574"/>
      <c r="BA16" s="1574"/>
      <c r="BB16" s="1574"/>
      <c r="BC16" s="1574"/>
      <c r="BD16" s="1574"/>
      <c r="BE16" s="1574"/>
      <c r="BF16" s="1574"/>
      <c r="BG16" s="1574"/>
      <c r="BH16" s="1574"/>
      <c r="BI16" s="1574"/>
      <c r="BJ16" s="1574"/>
      <c r="BK16" s="1574"/>
      <c r="BL16" s="1574"/>
      <c r="BM16" s="1554">
        <v>11</v>
      </c>
    </row>
    <row customHeight="1" ht="15">
      <c r="D17" s="2183" t="s">
        <v>110</v>
      </c>
      <c r="E17" s="2179" t="s">
        <v>295</v>
      </c>
      <c r="F17" s="2179" t="s">
        <v>297</v>
      </c>
      <c r="G17" s="2185" t="s">
        <v>19</v>
      </c>
      <c r="H17" s="1599"/>
      <c r="I17" s="2181"/>
      <c r="J17" s="2152"/>
      <c r="K17" s="1514"/>
      <c r="L17" s="2137"/>
      <c r="M17" s="2137"/>
      <c r="N17" s="1584"/>
      <c r="O17" s="2137"/>
      <c r="P17" s="2152"/>
      <c r="Q17" s="1585"/>
      <c r="R17" s="2137"/>
      <c r="S17" s="2137"/>
      <c r="T17" s="1586"/>
      <c r="U17" s="2137"/>
      <c r="V17" s="2152"/>
      <c r="W17" s="1587"/>
      <c r="X17" s="2137"/>
      <c r="Y17" s="2137"/>
      <c r="Z17" s="1584"/>
      <c r="AA17" s="2137"/>
      <c r="AB17" s="2152"/>
      <c r="AC17" s="1588"/>
      <c r="AD17" s="2137"/>
      <c r="AE17" s="2137"/>
      <c r="AF17" s="1513"/>
      <c r="AG17" s="1513"/>
      <c r="AH17" s="1589"/>
      <c r="AI17" s="1296"/>
      <c r="AJ17" s="1574"/>
      <c r="BM17" s="293">
        <v>14</v>
      </c>
    </row>
    <row customHeight="1" ht="14.699999999999998">
      <c r="D18" s="2183"/>
      <c r="E18" s="2179"/>
      <c r="F18" s="2179"/>
      <c r="G18" s="2186"/>
      <c r="H18" s="1600"/>
      <c r="I18" s="2182"/>
      <c r="J18" s="2153"/>
      <c r="K18" s="1583"/>
      <c r="L18" s="2138"/>
      <c r="M18" s="2138"/>
      <c r="N18" s="1590"/>
      <c r="O18" s="2138"/>
      <c r="P18" s="2153"/>
      <c r="Q18" s="1591"/>
      <c r="R18" s="2138"/>
      <c r="S18" s="2138"/>
      <c r="T18" s="1592"/>
      <c r="U18" s="2138"/>
      <c r="V18" s="2153"/>
      <c r="W18" s="1593"/>
      <c r="X18" s="2138"/>
      <c r="Y18" s="2138"/>
      <c r="Z18" s="1590"/>
      <c r="AA18" s="2138"/>
      <c r="AB18" s="2153"/>
      <c r="AC18" s="1594"/>
      <c r="AD18" s="2138"/>
      <c r="AE18" s="2138"/>
      <c r="AF18" s="1595"/>
      <c r="AG18" s="1595"/>
      <c r="AH18" s="2177"/>
      <c r="AI18" s="2178"/>
      <c r="AJ18" s="1574"/>
      <c r="BM18" s="293">
        <v>14</v>
      </c>
    </row>
    <row customHeight="1" ht="14.699999999999998">
      <c r="D19" s="2183"/>
      <c r="E19" s="2179"/>
      <c r="F19" s="2179"/>
      <c r="G19" s="2186"/>
      <c r="H19" s="1600"/>
      <c r="I19" s="2182"/>
      <c r="J19" s="2153"/>
      <c r="K19" s="1583"/>
      <c r="L19" s="2138"/>
      <c r="M19" s="2138"/>
      <c r="N19" s="1590"/>
      <c r="O19" s="2138"/>
      <c r="P19" s="2153"/>
      <c r="Q19" s="1591"/>
      <c r="R19" s="2138"/>
      <c r="S19" s="2138"/>
      <c r="T19" s="1592"/>
      <c r="U19" s="2138"/>
      <c r="V19" s="2153"/>
      <c r="W19" s="1593"/>
      <c r="X19" s="2138"/>
      <c r="Y19" s="2138"/>
      <c r="Z19" s="1512"/>
      <c r="AA19" s="1595"/>
      <c r="AB19" s="2177"/>
      <c r="AC19" s="2177"/>
      <c r="AD19" s="2177"/>
      <c r="AE19" s="2177"/>
      <c r="AF19" s="2177"/>
      <c r="AG19" s="2177"/>
      <c r="AH19" s="2177"/>
      <c r="AI19" s="2178"/>
      <c r="AJ19" s="1574"/>
      <c r="BM19" s="293">
        <v>14</v>
      </c>
    </row>
    <row customHeight="1" ht="14.699999999999998">
      <c r="D20" s="2183"/>
      <c r="E20" s="2179"/>
      <c r="F20" s="2179"/>
      <c r="G20" s="2186"/>
      <c r="H20" s="1600"/>
      <c r="I20" s="2182"/>
      <c r="J20" s="2153"/>
      <c r="K20" s="1583"/>
      <c r="L20" s="2138"/>
      <c r="M20" s="2138"/>
      <c r="N20" s="1590"/>
      <c r="O20" s="2138"/>
      <c r="P20" s="2153"/>
      <c r="Q20" s="1591"/>
      <c r="R20" s="2138"/>
      <c r="S20" s="2138"/>
      <c r="T20" s="1596"/>
      <c r="U20" s="1597"/>
      <c r="V20" s="2177"/>
      <c r="W20" s="2177"/>
      <c r="X20" s="2177"/>
      <c r="Y20" s="2177"/>
      <c r="Z20" s="2177"/>
      <c r="AA20" s="2177"/>
      <c r="AB20" s="2177"/>
      <c r="AC20" s="2177"/>
      <c r="AD20" s="2177"/>
      <c r="AE20" s="2177"/>
      <c r="AF20" s="2177"/>
      <c r="AG20" s="2177"/>
      <c r="AH20" s="2177"/>
      <c r="AI20" s="2178"/>
      <c r="AJ20" s="1574"/>
      <c r="BM20" s="293">
        <v>14</v>
      </c>
    </row>
    <row customHeight="1" ht="11.549999999999999">
      <c r="D21" s="2183"/>
      <c r="E21" s="2179"/>
      <c r="F21" s="2179"/>
      <c r="G21" s="2186"/>
      <c r="H21" s="1601"/>
      <c r="I21" s="2182"/>
      <c r="J21" s="2153"/>
      <c r="K21" s="1583"/>
      <c r="L21" s="2138"/>
      <c r="M21" s="2138"/>
      <c r="N21" s="1595"/>
      <c r="O21" s="1595"/>
      <c r="P21" s="2177"/>
      <c r="Q21" s="2177"/>
      <c r="R21" s="2177"/>
      <c r="S21" s="2177"/>
      <c r="T21" s="2177"/>
      <c r="U21" s="2177"/>
      <c r="V21" s="2177"/>
      <c r="W21" s="2177"/>
      <c r="X21" s="2177"/>
      <c r="Y21" s="2177"/>
      <c r="Z21" s="2177"/>
      <c r="AA21" s="2177"/>
      <c r="AB21" s="2177"/>
      <c r="AC21" s="2177"/>
      <c r="AD21" s="2177"/>
      <c r="AE21" s="2177"/>
      <c r="AF21" s="2177"/>
      <c r="AG21" s="2177"/>
      <c r="AH21" s="2177"/>
      <c r="AI21" s="2178"/>
      <c r="AJ21" s="1574"/>
      <c r="BM21" s="293">
        <v>11</v>
      </c>
    </row>
    <row s="1554" customFormat="1" customHeight="1" ht="11.549999999999999">
      <c r="D22" s="2189"/>
      <c r="E22" s="2190"/>
      <c r="F22" s="2180"/>
      <c r="G22" s="2112"/>
      <c r="H22" s="1598"/>
      <c r="I22" s="1602"/>
      <c r="J22" s="2187"/>
      <c r="K22" s="2187"/>
      <c r="L22" s="2187"/>
      <c r="M22" s="2187"/>
      <c r="N22" s="2187"/>
      <c r="O22" s="2187"/>
      <c r="P22" s="2187"/>
      <c r="Q22" s="2187"/>
      <c r="R22" s="2187"/>
      <c r="S22" s="2187"/>
      <c r="T22" s="2187"/>
      <c r="U22" s="2187"/>
      <c r="V22" s="2187"/>
      <c r="W22" s="2187"/>
      <c r="X22" s="2187"/>
      <c r="Y22" s="2187"/>
      <c r="Z22" s="2187"/>
      <c r="AA22" s="2187"/>
      <c r="AB22" s="2187"/>
      <c r="AC22" s="2187"/>
      <c r="AD22" s="2187"/>
      <c r="AE22" s="2187"/>
      <c r="AF22" s="2187"/>
      <c r="AG22" s="2187"/>
      <c r="AH22" s="2187"/>
      <c r="AI22" s="2188"/>
      <c r="AJ22" s="1574"/>
      <c r="AK22" s="306"/>
      <c r="AL22" s="1574"/>
      <c r="AM22" s="1574"/>
      <c r="AN22" s="1574"/>
      <c r="AO22" s="1574"/>
      <c r="AP22" s="1574"/>
      <c r="AQ22" s="1574"/>
      <c r="AR22" s="1574"/>
      <c r="AS22" s="1574"/>
      <c r="AT22" s="1574"/>
      <c r="AU22" s="1574"/>
      <c r="AV22" s="1574"/>
      <c r="AW22" s="1574"/>
      <c r="AX22" s="1574"/>
      <c r="AY22" s="1574"/>
      <c r="AZ22" s="1574"/>
      <c r="BA22" s="1574"/>
      <c r="BB22" s="1574"/>
      <c r="BC22" s="1574"/>
      <c r="BD22" s="1574"/>
      <c r="BE22" s="1574"/>
      <c r="BF22" s="1574"/>
      <c r="BG22" s="1574"/>
      <c r="BH22" s="1574"/>
      <c r="BI22" s="1574"/>
      <c r="BJ22" s="1574"/>
      <c r="BK22" s="1574"/>
      <c r="BL22" s="1574"/>
      <c r="BM22" s="1554">
        <v>11</v>
      </c>
    </row>
    <row customHeight="1" ht="15">
      <c r="D23" s="2183" t="s">
        <v>90</v>
      </c>
      <c r="E23" s="2179" t="s">
        <v>295</v>
      </c>
      <c r="F23" s="2179" t="s">
        <v>298</v>
      </c>
      <c r="G23" s="2185" t="s">
        <v>19</v>
      </c>
      <c r="H23" s="1599"/>
      <c r="I23" s="2181"/>
      <c r="J23" s="2152"/>
      <c r="K23" s="1514"/>
      <c r="L23" s="2137"/>
      <c r="M23" s="2137"/>
      <c r="N23" s="1584"/>
      <c r="O23" s="2137"/>
      <c r="P23" s="2152"/>
      <c r="Q23" s="1585"/>
      <c r="R23" s="2137"/>
      <c r="S23" s="2137"/>
      <c r="T23" s="1586"/>
      <c r="U23" s="2137"/>
      <c r="V23" s="2152"/>
      <c r="W23" s="1587"/>
      <c r="X23" s="2137"/>
      <c r="Y23" s="2137"/>
      <c r="Z23" s="1584"/>
      <c r="AA23" s="2137"/>
      <c r="AB23" s="2152"/>
      <c r="AC23" s="1588"/>
      <c r="AD23" s="2137"/>
      <c r="AE23" s="2137"/>
      <c r="AF23" s="1513"/>
      <c r="AG23" s="1513"/>
      <c r="AH23" s="1589"/>
      <c r="AI23" s="1296"/>
      <c r="AJ23" s="1574"/>
      <c r="AK23" s="306" t="s">
        <v>98</v>
      </c>
      <c r="BM23" s="293">
        <v>14</v>
      </c>
    </row>
    <row customHeight="1" ht="14.699999999999998">
      <c r="D24" s="2183"/>
      <c r="E24" s="2179"/>
      <c r="F24" s="2179"/>
      <c r="G24" s="2186"/>
      <c r="H24" s="1600"/>
      <c r="I24" s="2182"/>
      <c r="J24" s="2153"/>
      <c r="K24" s="1610"/>
      <c r="L24" s="2138"/>
      <c r="M24" s="2138"/>
      <c r="N24" s="1590"/>
      <c r="O24" s="2138"/>
      <c r="P24" s="2153"/>
      <c r="Q24" s="1591"/>
      <c r="R24" s="2138"/>
      <c r="S24" s="2138"/>
      <c r="T24" s="1592"/>
      <c r="U24" s="2138"/>
      <c r="V24" s="2153"/>
      <c r="W24" s="1593"/>
      <c r="X24" s="2138"/>
      <c r="Y24" s="2138"/>
      <c r="Z24" s="1590"/>
      <c r="AA24" s="2138"/>
      <c r="AB24" s="2153"/>
      <c r="AC24" s="1594"/>
      <c r="AD24" s="2138"/>
      <c r="AE24" s="2138"/>
      <c r="AF24" s="1595"/>
      <c r="AG24" s="1595"/>
      <c r="AH24" s="2177"/>
      <c r="AI24" s="2178"/>
      <c r="AJ24" s="1574"/>
      <c r="BM24" s="293">
        <v>14</v>
      </c>
    </row>
    <row customHeight="1" ht="14.699999999999998">
      <c r="D25" s="2183"/>
      <c r="E25" s="2179"/>
      <c r="F25" s="2179"/>
      <c r="G25" s="2186"/>
      <c r="H25" s="1600"/>
      <c r="I25" s="2182"/>
      <c r="J25" s="2153"/>
      <c r="K25" s="1610"/>
      <c r="L25" s="2138"/>
      <c r="M25" s="2138"/>
      <c r="N25" s="1590"/>
      <c r="O25" s="2138"/>
      <c r="P25" s="2153"/>
      <c r="Q25" s="1591"/>
      <c r="R25" s="2138"/>
      <c r="S25" s="2138"/>
      <c r="T25" s="1592"/>
      <c r="U25" s="2138"/>
      <c r="V25" s="2153"/>
      <c r="W25" s="1593"/>
      <c r="X25" s="2138"/>
      <c r="Y25" s="2138"/>
      <c r="Z25" s="1512"/>
      <c r="AA25" s="1595"/>
      <c r="AB25" s="2177"/>
      <c r="AC25" s="2177"/>
      <c r="AD25" s="2177"/>
      <c r="AE25" s="2177"/>
      <c r="AF25" s="2177"/>
      <c r="AG25" s="2177"/>
      <c r="AH25" s="2177"/>
      <c r="AI25" s="2178"/>
      <c r="AJ25" s="1574"/>
      <c r="BM25" s="293">
        <v>14</v>
      </c>
    </row>
    <row customHeight="1" ht="14.699999999999998">
      <c r="D26" s="2183"/>
      <c r="E26" s="2179"/>
      <c r="F26" s="2179"/>
      <c r="G26" s="2186"/>
      <c r="H26" s="1600"/>
      <c r="I26" s="2182"/>
      <c r="J26" s="2153"/>
      <c r="K26" s="1610"/>
      <c r="L26" s="2138"/>
      <c r="M26" s="2138"/>
      <c r="N26" s="1590"/>
      <c r="O26" s="2138"/>
      <c r="P26" s="2153"/>
      <c r="Q26" s="1591"/>
      <c r="R26" s="2138"/>
      <c r="S26" s="2138"/>
      <c r="T26" s="1596"/>
      <c r="U26" s="1597"/>
      <c r="V26" s="2177"/>
      <c r="W26" s="2177"/>
      <c r="X26" s="2177"/>
      <c r="Y26" s="2177"/>
      <c r="Z26" s="2177"/>
      <c r="AA26" s="2177"/>
      <c r="AB26" s="2177"/>
      <c r="AC26" s="2177"/>
      <c r="AD26" s="2177"/>
      <c r="AE26" s="2177"/>
      <c r="AF26" s="2177"/>
      <c r="AG26" s="2177"/>
      <c r="AH26" s="2177"/>
      <c r="AI26" s="2178"/>
      <c r="AJ26" s="1574"/>
      <c r="BM26" s="293">
        <v>14</v>
      </c>
    </row>
    <row customHeight="1" ht="11.549999999999999">
      <c r="D27" s="2183"/>
      <c r="E27" s="2179"/>
      <c r="F27" s="2179"/>
      <c r="G27" s="2186"/>
      <c r="H27" s="1601"/>
      <c r="I27" s="2182"/>
      <c r="J27" s="2153"/>
      <c r="K27" s="1610"/>
      <c r="L27" s="2138"/>
      <c r="M27" s="2138"/>
      <c r="N27" s="1595"/>
      <c r="O27" s="1595"/>
      <c r="P27" s="2177"/>
      <c r="Q27" s="2177"/>
      <c r="R27" s="2177"/>
      <c r="S27" s="2177"/>
      <c r="T27" s="2177"/>
      <c r="U27" s="2177"/>
      <c r="V27" s="2177"/>
      <c r="W27" s="2177"/>
      <c r="X27" s="2177"/>
      <c r="Y27" s="2177"/>
      <c r="Z27" s="2177"/>
      <c r="AA27" s="2177"/>
      <c r="AB27" s="2177"/>
      <c r="AC27" s="2177"/>
      <c r="AD27" s="2177"/>
      <c r="AE27" s="2177"/>
      <c r="AF27" s="2177"/>
      <c r="AG27" s="2177"/>
      <c r="AH27" s="2177"/>
      <c r="AI27" s="2178"/>
      <c r="AJ27" s="1574"/>
      <c r="BM27" s="293">
        <v>11</v>
      </c>
    </row>
    <row s="1554" customFormat="1" customHeight="1" ht="11.549999999999999">
      <c r="D28" s="2189"/>
      <c r="E28" s="2190"/>
      <c r="F28" s="2180"/>
      <c r="G28" s="2112"/>
      <c r="H28" s="1598"/>
      <c r="I28" s="1602"/>
      <c r="J28" s="2187"/>
      <c r="K28" s="2187"/>
      <c r="L28" s="2187"/>
      <c r="M28" s="2187"/>
      <c r="N28" s="2187"/>
      <c r="O28" s="2187"/>
      <c r="P28" s="2187"/>
      <c r="Q28" s="2187"/>
      <c r="R28" s="2187"/>
      <c r="S28" s="2187"/>
      <c r="T28" s="2187"/>
      <c r="U28" s="2187"/>
      <c r="V28" s="2187"/>
      <c r="W28" s="2187"/>
      <c r="X28" s="2187"/>
      <c r="Y28" s="2187"/>
      <c r="Z28" s="2187"/>
      <c r="AA28" s="2187"/>
      <c r="AB28" s="2187"/>
      <c r="AC28" s="2187"/>
      <c r="AD28" s="2187"/>
      <c r="AE28" s="2187"/>
      <c r="AF28" s="2187"/>
      <c r="AG28" s="2187"/>
      <c r="AH28" s="2187"/>
      <c r="AI28" s="2188"/>
      <c r="AJ28" s="1574"/>
      <c r="AK28" s="306"/>
      <c r="AL28" s="1574"/>
      <c r="AM28" s="1574"/>
      <c r="AN28" s="1574"/>
      <c r="AO28" s="1574"/>
      <c r="AP28" s="1574"/>
      <c r="AQ28" s="1574"/>
      <c r="AR28" s="1574"/>
      <c r="AS28" s="1574"/>
      <c r="AT28" s="1574"/>
      <c r="AU28" s="1574"/>
      <c r="AV28" s="1574"/>
      <c r="AW28" s="1574"/>
      <c r="AX28" s="1574"/>
      <c r="AY28" s="1574"/>
      <c r="AZ28" s="1574"/>
      <c r="BA28" s="1574"/>
      <c r="BB28" s="1574"/>
      <c r="BC28" s="1574"/>
      <c r="BD28" s="1574"/>
      <c r="BE28" s="1574"/>
      <c r="BF28" s="1574"/>
      <c r="BG28" s="1574"/>
      <c r="BH28" s="1574"/>
      <c r="BI28" s="1574"/>
      <c r="BJ28" s="1574"/>
      <c r="BK28" s="1574"/>
      <c r="BL28" s="1574"/>
      <c r="BM28" s="1554">
        <v>11</v>
      </c>
    </row>
    <row customHeight="1" ht="15">
      <c r="D29" s="2183" t="s">
        <v>91</v>
      </c>
      <c r="E29" s="2179" t="s">
        <v>295</v>
      </c>
      <c r="F29" s="2179" t="s">
        <v>299</v>
      </c>
      <c r="G29" s="2185" t="s">
        <v>19</v>
      </c>
      <c r="H29" s="1599"/>
      <c r="I29" s="2181"/>
      <c r="J29" s="2152"/>
      <c r="K29" s="1514"/>
      <c r="L29" s="2137"/>
      <c r="M29" s="2137"/>
      <c r="N29" s="1584"/>
      <c r="O29" s="2137"/>
      <c r="P29" s="2152"/>
      <c r="Q29" s="1585"/>
      <c r="R29" s="2137"/>
      <c r="S29" s="2137"/>
      <c r="T29" s="1586"/>
      <c r="U29" s="2137"/>
      <c r="V29" s="2152"/>
      <c r="W29" s="1587"/>
      <c r="X29" s="2137"/>
      <c r="Y29" s="2137"/>
      <c r="Z29" s="1584"/>
      <c r="AA29" s="2137"/>
      <c r="AB29" s="2152"/>
      <c r="AC29" s="1588"/>
      <c r="AD29" s="2137"/>
      <c r="AE29" s="2137"/>
      <c r="AF29" s="1513"/>
      <c r="AG29" s="1513"/>
      <c r="AH29" s="1589"/>
      <c r="AI29" s="1296"/>
      <c r="AJ29" s="1574"/>
      <c r="BM29" s="293">
        <v>14</v>
      </c>
    </row>
    <row customHeight="1" ht="14.699999999999998">
      <c r="D30" s="2183"/>
      <c r="E30" s="2179"/>
      <c r="F30" s="2179"/>
      <c r="G30" s="2186"/>
      <c r="H30" s="1600"/>
      <c r="I30" s="2182"/>
      <c r="J30" s="2153"/>
      <c r="K30" s="1583"/>
      <c r="L30" s="2138"/>
      <c r="M30" s="2138"/>
      <c r="N30" s="1590"/>
      <c r="O30" s="2138"/>
      <c r="P30" s="2153"/>
      <c r="Q30" s="1591"/>
      <c r="R30" s="2138"/>
      <c r="S30" s="2138"/>
      <c r="T30" s="1592"/>
      <c r="U30" s="2138"/>
      <c r="V30" s="2153"/>
      <c r="W30" s="1593"/>
      <c r="X30" s="2138"/>
      <c r="Y30" s="2138"/>
      <c r="Z30" s="1590"/>
      <c r="AA30" s="2138"/>
      <c r="AB30" s="2153"/>
      <c r="AC30" s="1594"/>
      <c r="AD30" s="2138"/>
      <c r="AE30" s="2138"/>
      <c r="AF30" s="1595"/>
      <c r="AG30" s="1595"/>
      <c r="AH30" s="2177"/>
      <c r="AI30" s="2178"/>
      <c r="AJ30" s="1574"/>
      <c r="BM30" s="293">
        <v>14</v>
      </c>
    </row>
    <row customHeight="1" ht="14.699999999999998">
      <c r="D31" s="2183"/>
      <c r="E31" s="2179"/>
      <c r="F31" s="2179"/>
      <c r="G31" s="2186"/>
      <c r="H31" s="1600"/>
      <c r="I31" s="2182"/>
      <c r="J31" s="2153"/>
      <c r="K31" s="1583"/>
      <c r="L31" s="2138"/>
      <c r="M31" s="2138"/>
      <c r="N31" s="1590"/>
      <c r="O31" s="2138"/>
      <c r="P31" s="2153"/>
      <c r="Q31" s="1591"/>
      <c r="R31" s="2138"/>
      <c r="S31" s="2138"/>
      <c r="T31" s="1592"/>
      <c r="U31" s="2138"/>
      <c r="V31" s="2153"/>
      <c r="W31" s="1593"/>
      <c r="X31" s="2138"/>
      <c r="Y31" s="2138"/>
      <c r="Z31" s="1512"/>
      <c r="AA31" s="1595"/>
      <c r="AB31" s="2177"/>
      <c r="AC31" s="2177"/>
      <c r="AD31" s="2177"/>
      <c r="AE31" s="2177"/>
      <c r="AF31" s="2177"/>
      <c r="AG31" s="2177"/>
      <c r="AH31" s="2177"/>
      <c r="AI31" s="2178"/>
      <c r="AJ31" s="1574"/>
      <c r="BM31" s="293">
        <v>14</v>
      </c>
    </row>
    <row customHeight="1" ht="14.699999999999998">
      <c r="D32" s="2183"/>
      <c r="E32" s="2179"/>
      <c r="F32" s="2179"/>
      <c r="G32" s="2186"/>
      <c r="H32" s="1600"/>
      <c r="I32" s="2182"/>
      <c r="J32" s="2153"/>
      <c r="K32" s="1583"/>
      <c r="L32" s="2138"/>
      <c r="M32" s="2138"/>
      <c r="N32" s="1590"/>
      <c r="O32" s="2138"/>
      <c r="P32" s="2153"/>
      <c r="Q32" s="1591"/>
      <c r="R32" s="2138"/>
      <c r="S32" s="2138"/>
      <c r="T32" s="1596"/>
      <c r="U32" s="1597"/>
      <c r="V32" s="2177"/>
      <c r="W32" s="2177"/>
      <c r="X32" s="2177"/>
      <c r="Y32" s="2177"/>
      <c r="Z32" s="2177"/>
      <c r="AA32" s="2177"/>
      <c r="AB32" s="2177"/>
      <c r="AC32" s="2177"/>
      <c r="AD32" s="2177"/>
      <c r="AE32" s="2177"/>
      <c r="AF32" s="2177"/>
      <c r="AG32" s="2177"/>
      <c r="AH32" s="2177"/>
      <c r="AI32" s="2178"/>
      <c r="AJ32" s="1574"/>
      <c r="BM32" s="293">
        <v>14</v>
      </c>
    </row>
    <row customHeight="1" ht="11.549999999999999">
      <c r="D33" s="2183"/>
      <c r="E33" s="2179"/>
      <c r="F33" s="2179"/>
      <c r="G33" s="2186"/>
      <c r="H33" s="1601"/>
      <c r="I33" s="2182"/>
      <c r="J33" s="2153"/>
      <c r="K33" s="1583"/>
      <c r="L33" s="2138"/>
      <c r="M33" s="2138"/>
      <c r="N33" s="1595"/>
      <c r="O33" s="1595"/>
      <c r="P33" s="2177"/>
      <c r="Q33" s="2177"/>
      <c r="R33" s="2177"/>
      <c r="S33" s="2177"/>
      <c r="T33" s="2177"/>
      <c r="U33" s="2177"/>
      <c r="V33" s="2177"/>
      <c r="W33" s="2177"/>
      <c r="X33" s="2177"/>
      <c r="Y33" s="2177"/>
      <c r="Z33" s="2177"/>
      <c r="AA33" s="2177"/>
      <c r="AB33" s="2177"/>
      <c r="AC33" s="2177"/>
      <c r="AD33" s="2177"/>
      <c r="AE33" s="2177"/>
      <c r="AF33" s="2177"/>
      <c r="AG33" s="2177"/>
      <c r="AH33" s="2177"/>
      <c r="AI33" s="2178"/>
      <c r="AJ33" s="1574"/>
      <c r="BM33" s="293">
        <v>11</v>
      </c>
    </row>
    <row s="1554" customFormat="1" customHeight="1" ht="11.549999999999999">
      <c r="D34" s="2189"/>
      <c r="E34" s="2190"/>
      <c r="F34" s="2180"/>
      <c r="G34" s="2112"/>
      <c r="H34" s="1598"/>
      <c r="I34" s="1602"/>
      <c r="J34" s="2187"/>
      <c r="K34" s="2187"/>
      <c r="L34" s="2187"/>
      <c r="M34" s="2187"/>
      <c r="N34" s="2187"/>
      <c r="O34" s="2187"/>
      <c r="P34" s="2187"/>
      <c r="Q34" s="2187"/>
      <c r="R34" s="2187"/>
      <c r="S34" s="2187"/>
      <c r="T34" s="2187"/>
      <c r="U34" s="2187"/>
      <c r="V34" s="2187"/>
      <c r="W34" s="2187"/>
      <c r="X34" s="2187"/>
      <c r="Y34" s="2187"/>
      <c r="Z34" s="2187"/>
      <c r="AA34" s="2187"/>
      <c r="AB34" s="2187"/>
      <c r="AC34" s="2187"/>
      <c r="AD34" s="2187"/>
      <c r="AE34" s="2187"/>
      <c r="AF34" s="2187"/>
      <c r="AG34" s="2187"/>
      <c r="AH34" s="2187"/>
      <c r="AI34" s="2188"/>
      <c r="AJ34" s="1574"/>
      <c r="AK34" s="306"/>
      <c r="AL34" s="1574"/>
      <c r="AM34" s="1574"/>
      <c r="AN34" s="1574"/>
      <c r="AO34" s="1574"/>
      <c r="AP34" s="1574"/>
      <c r="AQ34" s="1574"/>
      <c r="AR34" s="1574"/>
      <c r="AS34" s="1574"/>
      <c r="AT34" s="1574"/>
      <c r="AU34" s="1574"/>
      <c r="AV34" s="1574"/>
      <c r="AW34" s="1574"/>
      <c r="AX34" s="1574"/>
      <c r="AY34" s="1574"/>
      <c r="AZ34" s="1574"/>
      <c r="BA34" s="1574"/>
      <c r="BB34" s="1574"/>
      <c r="BC34" s="1574"/>
      <c r="BD34" s="1574"/>
      <c r="BE34" s="1574"/>
      <c r="BF34" s="1574"/>
      <c r="BG34" s="1574"/>
      <c r="BH34" s="1574"/>
      <c r="BI34" s="1574"/>
      <c r="BJ34" s="1574"/>
      <c r="BK34" s="1574"/>
      <c r="BL34" s="1574"/>
      <c r="BM34" s="1554">
        <v>11</v>
      </c>
    </row>
    <row customHeight="1" ht="15">
      <c r="D35" s="2183" t="s">
        <v>111</v>
      </c>
      <c r="E35" s="2179" t="s">
        <v>295</v>
      </c>
      <c r="F35" s="2179" t="s">
        <v>300</v>
      </c>
      <c r="G35" s="2185" t="s">
        <v>19</v>
      </c>
      <c r="H35" s="1599"/>
      <c r="I35" s="2181"/>
      <c r="J35" s="2152"/>
      <c r="K35" s="1514"/>
      <c r="L35" s="2137"/>
      <c r="M35" s="2137"/>
      <c r="N35" s="1584"/>
      <c r="O35" s="2137"/>
      <c r="P35" s="2152"/>
      <c r="Q35" s="1585"/>
      <c r="R35" s="2137"/>
      <c r="S35" s="2137"/>
      <c r="T35" s="1586"/>
      <c r="U35" s="2137"/>
      <c r="V35" s="2152"/>
      <c r="W35" s="1587"/>
      <c r="X35" s="2137"/>
      <c r="Y35" s="2137"/>
      <c r="Z35" s="1584"/>
      <c r="AA35" s="2137"/>
      <c r="AB35" s="2152"/>
      <c r="AC35" s="1588"/>
      <c r="AD35" s="2137"/>
      <c r="AE35" s="2137"/>
      <c r="AF35" s="1513"/>
      <c r="AG35" s="1513"/>
      <c r="AH35" s="1589"/>
      <c r="AI35" s="1296"/>
      <c r="AJ35" s="1574"/>
      <c r="BM35" s="293">
        <v>14</v>
      </c>
    </row>
    <row customHeight="1" ht="14.699999999999998">
      <c r="D36" s="2183"/>
      <c r="E36" s="2179"/>
      <c r="F36" s="2179"/>
      <c r="G36" s="2186"/>
      <c r="H36" s="1600"/>
      <c r="I36" s="2182"/>
      <c r="J36" s="2153"/>
      <c r="K36" s="1583"/>
      <c r="L36" s="2138"/>
      <c r="M36" s="2138"/>
      <c r="N36" s="1590"/>
      <c r="O36" s="2138"/>
      <c r="P36" s="2153"/>
      <c r="Q36" s="1591"/>
      <c r="R36" s="2138"/>
      <c r="S36" s="2138"/>
      <c r="T36" s="1592"/>
      <c r="U36" s="2138"/>
      <c r="V36" s="2153"/>
      <c r="W36" s="1593"/>
      <c r="X36" s="2138"/>
      <c r="Y36" s="2138"/>
      <c r="Z36" s="1590"/>
      <c r="AA36" s="2138"/>
      <c r="AB36" s="2153"/>
      <c r="AC36" s="1594"/>
      <c r="AD36" s="2138"/>
      <c r="AE36" s="2138"/>
      <c r="AF36" s="1595"/>
      <c r="AG36" s="1595"/>
      <c r="AH36" s="2177"/>
      <c r="AI36" s="2178"/>
      <c r="AJ36" s="1574"/>
      <c r="BM36" s="293">
        <v>14</v>
      </c>
    </row>
    <row customHeight="1" ht="14.699999999999998">
      <c r="D37" s="2183"/>
      <c r="E37" s="2179"/>
      <c r="F37" s="2179"/>
      <c r="G37" s="2186"/>
      <c r="H37" s="1600"/>
      <c r="I37" s="2182"/>
      <c r="J37" s="2153"/>
      <c r="K37" s="1583"/>
      <c r="L37" s="2138"/>
      <c r="M37" s="2138"/>
      <c r="N37" s="1590"/>
      <c r="O37" s="2138"/>
      <c r="P37" s="2153"/>
      <c r="Q37" s="1591"/>
      <c r="R37" s="2138"/>
      <c r="S37" s="2138"/>
      <c r="T37" s="1592"/>
      <c r="U37" s="2138"/>
      <c r="V37" s="2153"/>
      <c r="W37" s="1593"/>
      <c r="X37" s="2138"/>
      <c r="Y37" s="2138"/>
      <c r="Z37" s="1512"/>
      <c r="AA37" s="1595"/>
      <c r="AB37" s="2177"/>
      <c r="AC37" s="2177"/>
      <c r="AD37" s="2177"/>
      <c r="AE37" s="2177"/>
      <c r="AF37" s="2177"/>
      <c r="AG37" s="2177"/>
      <c r="AH37" s="2177"/>
      <c r="AI37" s="2178"/>
      <c r="AJ37" s="1574"/>
      <c r="BM37" s="293">
        <v>14</v>
      </c>
    </row>
    <row customHeight="1" ht="14.699999999999998">
      <c r="D38" s="2183"/>
      <c r="E38" s="2179"/>
      <c r="F38" s="2179"/>
      <c r="G38" s="2186"/>
      <c r="H38" s="1600"/>
      <c r="I38" s="2182"/>
      <c r="J38" s="2153"/>
      <c r="K38" s="1583"/>
      <c r="L38" s="2138"/>
      <c r="M38" s="2138"/>
      <c r="N38" s="1590"/>
      <c r="O38" s="2138"/>
      <c r="P38" s="2153"/>
      <c r="Q38" s="1591"/>
      <c r="R38" s="2138"/>
      <c r="S38" s="2138"/>
      <c r="T38" s="1596"/>
      <c r="U38" s="1597"/>
      <c r="V38" s="2177"/>
      <c r="W38" s="2177"/>
      <c r="X38" s="2177"/>
      <c r="Y38" s="2177"/>
      <c r="Z38" s="2177"/>
      <c r="AA38" s="2177"/>
      <c r="AB38" s="2177"/>
      <c r="AC38" s="2177"/>
      <c r="AD38" s="2177"/>
      <c r="AE38" s="2177"/>
      <c r="AF38" s="2177"/>
      <c r="AG38" s="2177"/>
      <c r="AH38" s="2177"/>
      <c r="AI38" s="2178"/>
      <c r="AJ38" s="1574"/>
      <c r="BM38" s="293">
        <v>14</v>
      </c>
    </row>
    <row customHeight="1" ht="11.549999999999999">
      <c r="D39" s="2183"/>
      <c r="E39" s="2179"/>
      <c r="F39" s="2179"/>
      <c r="G39" s="2186"/>
      <c r="H39" s="1601"/>
      <c r="I39" s="2182"/>
      <c r="J39" s="2153"/>
      <c r="K39" s="1583"/>
      <c r="L39" s="2138"/>
      <c r="M39" s="2138"/>
      <c r="N39" s="1595"/>
      <c r="O39" s="1595"/>
      <c r="P39" s="2177"/>
      <c r="Q39" s="2177"/>
      <c r="R39" s="2177"/>
      <c r="S39" s="2177"/>
      <c r="T39" s="2177"/>
      <c r="U39" s="2177"/>
      <c r="V39" s="2177"/>
      <c r="W39" s="2177"/>
      <c r="X39" s="2177"/>
      <c r="Y39" s="2177"/>
      <c r="Z39" s="2177"/>
      <c r="AA39" s="2177"/>
      <c r="AB39" s="2177"/>
      <c r="AC39" s="2177"/>
      <c r="AD39" s="2177"/>
      <c r="AE39" s="2177"/>
      <c r="AF39" s="2177"/>
      <c r="AG39" s="2177"/>
      <c r="AH39" s="2177"/>
      <c r="AI39" s="2178"/>
      <c r="AJ39" s="1574"/>
      <c r="BM39" s="293">
        <v>11</v>
      </c>
    </row>
    <row s="1554" customFormat="1" customHeight="1" ht="11.549999999999999">
      <c r="D40" s="2183"/>
      <c r="E40" s="2179"/>
      <c r="F40" s="2184"/>
      <c r="G40" s="2112"/>
      <c r="H40" s="1598"/>
      <c r="I40" s="1602"/>
      <c r="J40" s="2187"/>
      <c r="K40" s="2187"/>
      <c r="L40" s="2187"/>
      <c r="M40" s="2187"/>
      <c r="N40" s="2187"/>
      <c r="O40" s="2187"/>
      <c r="P40" s="2187"/>
      <c r="Q40" s="2187"/>
      <c r="R40" s="2187"/>
      <c r="S40" s="2187"/>
      <c r="T40" s="2187"/>
      <c r="U40" s="2187"/>
      <c r="V40" s="2187"/>
      <c r="W40" s="2187"/>
      <c r="X40" s="2187"/>
      <c r="Y40" s="2187"/>
      <c r="Z40" s="2187"/>
      <c r="AA40" s="2187"/>
      <c r="AB40" s="2187"/>
      <c r="AC40" s="2187"/>
      <c r="AD40" s="2187"/>
      <c r="AE40" s="2187"/>
      <c r="AF40" s="2187"/>
      <c r="AG40" s="2187"/>
      <c r="AH40" s="2187"/>
      <c r="AI40" s="2188"/>
      <c r="AJ40" s="1574"/>
      <c r="AK40" s="306"/>
      <c r="AL40" s="1574"/>
      <c r="AM40" s="1574"/>
      <c r="AN40" s="1574"/>
      <c r="AO40" s="1574"/>
      <c r="AP40" s="1574"/>
      <c r="AQ40" s="1574"/>
      <c r="AR40" s="1574"/>
      <c r="AS40" s="1574"/>
      <c r="AT40" s="1574"/>
      <c r="AU40" s="1574"/>
      <c r="AV40" s="1574"/>
      <c r="AW40" s="1574"/>
      <c r="AX40" s="1574"/>
      <c r="AY40" s="1574"/>
      <c r="AZ40" s="1574"/>
      <c r="BA40" s="1574"/>
      <c r="BB40" s="1574"/>
      <c r="BC40" s="1574"/>
      <c r="BD40" s="1574"/>
      <c r="BE40" s="1574"/>
      <c r="BF40" s="1574"/>
      <c r="BG40" s="1574"/>
      <c r="BH40" s="1574"/>
      <c r="BI40" s="1574"/>
      <c r="BJ40" s="1574"/>
      <c r="BK40" s="1574"/>
      <c r="BL40" s="1574"/>
      <c r="BM40" s="1554">
        <v>11</v>
      </c>
    </row>
    <row customHeight="1" ht="11.549999999999999">
      <c r="AK41" s="423"/>
      <c r="BM41" s="293">
        <v>11</v>
      </c>
    </row>
    <row customHeight="1" ht="11.549999999999999">
      <c r="AK42" s="423"/>
      <c r="BM42" s="293">
        <v>11</v>
      </c>
    </row>
    <row customHeight="1" ht="11.549999999999999">
      <c r="AK43" s="423"/>
      <c r="BM43" s="293">
        <v>11</v>
      </c>
    </row>
    <row customHeight="1" ht="11.549999999999999">
      <c r="AK44" s="423"/>
      <c r="BM44" s="293">
        <v>11</v>
      </c>
    </row>
    <row customHeight="1" ht="11.549999999999999">
      <c r="AK45" s="423"/>
      <c r="BM45" s="293">
        <v>11</v>
      </c>
    </row>
    <row customHeight="1" ht="11.549999999999999">
      <c r="AK46" s="423"/>
      <c r="BM46" s="293">
        <v>11</v>
      </c>
    </row>
    <row customHeight="1" ht="11.549999999999999">
      <c r="AK47" s="423"/>
      <c r="BM47" s="293">
        <v>11</v>
      </c>
    </row>
    <row customHeight="1" ht="11.549999999999999">
      <c r="AK48" s="423"/>
      <c r="BM48" s="293">
        <v>11</v>
      </c>
    </row>
    <row customHeight="1" ht="11.549999999999999">
      <c r="AK49" s="423"/>
      <c r="BM49" s="293">
        <v>11</v>
      </c>
    </row>
    <row customHeight="1" ht="11.25" hidden="1">
      <c r="A50" s="293" t="s">
        <v>82</v>
      </c>
      <c r="B50" s="293">
        <v>0</v>
      </c>
      <c r="C50" s="293">
        <v>3</v>
      </c>
      <c r="D50" s="293">
        <v>3</v>
      </c>
      <c r="E50" s="293">
        <v>15</v>
      </c>
      <c r="F50" s="293">
        <v>15</v>
      </c>
      <c r="G50" s="293">
        <v>11</v>
      </c>
      <c r="H50" s="293">
        <v>3</v>
      </c>
      <c r="I50" s="293">
        <v>3</v>
      </c>
      <c r="J50" s="293">
        <v>12</v>
      </c>
      <c r="K50" s="293">
        <v>0</v>
      </c>
      <c r="L50" s="293">
        <v>10</v>
      </c>
      <c r="M50" s="293">
        <v>10</v>
      </c>
      <c r="N50" s="293">
        <v>3</v>
      </c>
      <c r="O50" s="293">
        <v>3</v>
      </c>
      <c r="P50" s="293">
        <v>19</v>
      </c>
      <c r="Q50" s="293">
        <v>0</v>
      </c>
      <c r="R50" s="293">
        <v>10</v>
      </c>
      <c r="S50" s="293">
        <v>10</v>
      </c>
      <c r="T50" s="293">
        <v>3</v>
      </c>
      <c r="U50" s="293">
        <v>3</v>
      </c>
      <c r="V50" s="293">
        <v>25</v>
      </c>
      <c r="W50" s="293">
        <v>0</v>
      </c>
      <c r="X50" s="293">
        <v>10</v>
      </c>
      <c r="Y50" s="293">
        <v>10</v>
      </c>
      <c r="Z50" s="293">
        <v>3</v>
      </c>
      <c r="AA50" s="293">
        <v>3</v>
      </c>
      <c r="AB50" s="293">
        <v>16</v>
      </c>
      <c r="AC50" s="293">
        <v>0</v>
      </c>
      <c r="AD50" s="293">
        <v>10</v>
      </c>
      <c r="AE50" s="293">
        <v>10</v>
      </c>
      <c r="AF50" s="293">
        <v>3</v>
      </c>
      <c r="AG50" s="293">
        <v>3</v>
      </c>
      <c r="AH50" s="293">
        <v>8</v>
      </c>
      <c r="AI50" s="293">
        <v>21</v>
      </c>
      <c r="AJ50" s="423">
        <v>8</v>
      </c>
      <c r="AK50" s="306">
        <v>8</v>
      </c>
      <c r="AL50" s="423">
        <v>8</v>
      </c>
      <c r="AM50" s="423">
        <v>8</v>
      </c>
      <c r="AN50" s="423">
        <v>8</v>
      </c>
      <c r="AO50" s="423">
        <v>8</v>
      </c>
      <c r="AP50" s="423">
        <v>8</v>
      </c>
      <c r="AQ50" s="423">
        <v>8</v>
      </c>
      <c r="AR50" s="423">
        <v>8</v>
      </c>
      <c r="AS50" s="423">
        <v>8</v>
      </c>
      <c r="AT50" s="423">
        <v>8</v>
      </c>
      <c r="AU50" s="423">
        <v>8</v>
      </c>
      <c r="AV50" s="423">
        <v>8</v>
      </c>
      <c r="AW50" s="423">
        <v>8</v>
      </c>
      <c r="AX50" s="423">
        <v>8</v>
      </c>
      <c r="AY50" s="423">
        <v>8</v>
      </c>
      <c r="AZ50" s="423">
        <v>8</v>
      </c>
      <c r="BA50" s="423">
        <v>8</v>
      </c>
      <c r="BB50" s="423">
        <v>8</v>
      </c>
      <c r="BC50" s="423">
        <v>8</v>
      </c>
      <c r="BD50" s="423">
        <v>8</v>
      </c>
      <c r="BE50" s="423">
        <v>8</v>
      </c>
      <c r="BF50" s="423">
        <v>8</v>
      </c>
      <c r="BG50" s="423">
        <v>8</v>
      </c>
      <c r="BH50" s="423">
        <v>8</v>
      </c>
      <c r="BI50" s="423">
        <v>8</v>
      </c>
      <c r="BJ50" s="423">
        <v>8</v>
      </c>
      <c r="BK50" s="423">
        <v>8</v>
      </c>
      <c r="BL50" s="423">
        <v>8</v>
      </c>
      <c r="BM50" s="293">
        <v>11</v>
      </c>
    </row>
  </sheetData>
  <sheetProtection formatColumns="0" formatRows="0" autoFilter="0" sort="0" insertRows="0" insertColumns="1" deleteRows="0" deleteColumns="0"/>
  <mergeCells count="151">
    <mergeCell ref="D4:J4"/>
    <mergeCell ref="D8:D10"/>
    <mergeCell ref="E8:E10"/>
    <mergeCell ref="J8:J10"/>
    <mergeCell ref="AH9:AH10"/>
    <mergeCell ref="Z9:AA10"/>
    <mergeCell ref="AF9:AG10"/>
    <mergeCell ref="X9:Y9"/>
    <mergeCell ref="V9:V10"/>
    <mergeCell ref="T9:U10"/>
    <mergeCell ref="L8:P8"/>
    <mergeCell ref="R8:V8"/>
    <mergeCell ref="X8:AB8"/>
    <mergeCell ref="AD8:AH8"/>
    <mergeCell ref="F8:G8"/>
    <mergeCell ref="F9:F10"/>
    <mergeCell ref="G9:G10"/>
    <mergeCell ref="N9:O10"/>
    <mergeCell ref="H8:I10"/>
    <mergeCell ref="AB9:AB10"/>
    <mergeCell ref="AD9:AE9"/>
    <mergeCell ref="D17:D22"/>
    <mergeCell ref="E17:E22"/>
    <mergeCell ref="F17:F22"/>
    <mergeCell ref="G17:G22"/>
    <mergeCell ref="I17:I21"/>
    <mergeCell ref="J17:J21"/>
    <mergeCell ref="J22:AI22"/>
    <mergeCell ref="P15:AI15"/>
    <mergeCell ref="J16:AI16"/>
    <mergeCell ref="G11:G16"/>
    <mergeCell ref="D11:D16"/>
    <mergeCell ref="E11:E16"/>
    <mergeCell ref="S17:S20"/>
    <mergeCell ref="AB11:AB12"/>
    <mergeCell ref="AD11:AD12"/>
    <mergeCell ref="AE11:AE12"/>
    <mergeCell ref="AH12:AI12"/>
    <mergeCell ref="D23:D28"/>
    <mergeCell ref="E23:E28"/>
    <mergeCell ref="F23:F28"/>
    <mergeCell ref="G23:G28"/>
    <mergeCell ref="I23:I27"/>
    <mergeCell ref="J23:J27"/>
    <mergeCell ref="J28:AI28"/>
    <mergeCell ref="AD17:AD18"/>
    <mergeCell ref="AE17:AE18"/>
    <mergeCell ref="AH18:AI18"/>
    <mergeCell ref="AB19:AI19"/>
    <mergeCell ref="V20:AI20"/>
    <mergeCell ref="P21:AI21"/>
    <mergeCell ref="U17:U19"/>
    <mergeCell ref="V17:V19"/>
    <mergeCell ref="X17:X19"/>
    <mergeCell ref="Y17:Y19"/>
    <mergeCell ref="AA17:AA18"/>
    <mergeCell ref="AB17:AB18"/>
    <mergeCell ref="L17:L21"/>
    <mergeCell ref="M17:M21"/>
    <mergeCell ref="O17:O20"/>
    <mergeCell ref="P17:P20"/>
    <mergeCell ref="R17:R20"/>
    <mergeCell ref="AH24:AI24"/>
    <mergeCell ref="AB25:AI25"/>
    <mergeCell ref="V26:AI26"/>
    <mergeCell ref="P27:AI27"/>
    <mergeCell ref="U23:U25"/>
    <mergeCell ref="V23:V25"/>
    <mergeCell ref="X23:X25"/>
    <mergeCell ref="Y23:Y25"/>
    <mergeCell ref="L23:L27"/>
    <mergeCell ref="M23:M27"/>
    <mergeCell ref="L29:L33"/>
    <mergeCell ref="M29:M33"/>
    <mergeCell ref="O29:O32"/>
    <mergeCell ref="P29:P32"/>
    <mergeCell ref="R29:R32"/>
    <mergeCell ref="S29:S32"/>
    <mergeCell ref="D29:D34"/>
    <mergeCell ref="E29:E34"/>
    <mergeCell ref="F29:F34"/>
    <mergeCell ref="G29:G34"/>
    <mergeCell ref="I29:I33"/>
    <mergeCell ref="J29:J33"/>
    <mergeCell ref="J34:AI34"/>
    <mergeCell ref="AD29:AD30"/>
    <mergeCell ref="AE29:AE30"/>
    <mergeCell ref="AH30:AI30"/>
    <mergeCell ref="AB31:AI31"/>
    <mergeCell ref="V32:AI32"/>
    <mergeCell ref="P33:AI33"/>
    <mergeCell ref="U29:U31"/>
    <mergeCell ref="V29:V31"/>
    <mergeCell ref="X29:X31"/>
    <mergeCell ref="Y29:Y31"/>
    <mergeCell ref="AA29:AA30"/>
    <mergeCell ref="L35:L39"/>
    <mergeCell ref="M35:M39"/>
    <mergeCell ref="O35:O38"/>
    <mergeCell ref="P35:P38"/>
    <mergeCell ref="R35:R38"/>
    <mergeCell ref="S35:S38"/>
    <mergeCell ref="D35:D40"/>
    <mergeCell ref="E35:E40"/>
    <mergeCell ref="F35:F40"/>
    <mergeCell ref="G35:G40"/>
    <mergeCell ref="I35:I39"/>
    <mergeCell ref="J35:J39"/>
    <mergeCell ref="J40:AI40"/>
    <mergeCell ref="AD35:AD36"/>
    <mergeCell ref="AE35:AE36"/>
    <mergeCell ref="AH36:AI36"/>
    <mergeCell ref="AB37:AI37"/>
    <mergeCell ref="V38:AI38"/>
    <mergeCell ref="P39:AI39"/>
    <mergeCell ref="U35:U37"/>
    <mergeCell ref="V35:V37"/>
    <mergeCell ref="X35:X37"/>
    <mergeCell ref="Y35:Y37"/>
    <mergeCell ref="AA35:AA36"/>
    <mergeCell ref="AB35:AB36"/>
    <mergeCell ref="O23:O26"/>
    <mergeCell ref="P23:P26"/>
    <mergeCell ref="R23:R26"/>
    <mergeCell ref="S23:S26"/>
    <mergeCell ref="AB23:AB24"/>
    <mergeCell ref="AD23:AD24"/>
    <mergeCell ref="AE23:AE24"/>
    <mergeCell ref="AA23:AA24"/>
    <mergeCell ref="AB29:AB30"/>
    <mergeCell ref="AI8:AI10"/>
    <mergeCell ref="D5:J5"/>
    <mergeCell ref="AB13:AI13"/>
    <mergeCell ref="Y11:Y13"/>
    <mergeCell ref="X11:X13"/>
    <mergeCell ref="AA11:AA12"/>
    <mergeCell ref="R11:R14"/>
    <mergeCell ref="S11:S14"/>
    <mergeCell ref="U11:U13"/>
    <mergeCell ref="V11:V13"/>
    <mergeCell ref="V14:AI14"/>
    <mergeCell ref="F11:F16"/>
    <mergeCell ref="I11:I15"/>
    <mergeCell ref="J11:J15"/>
    <mergeCell ref="L11:L15"/>
    <mergeCell ref="M11:M15"/>
    <mergeCell ref="O11:O14"/>
    <mergeCell ref="P11:P14"/>
    <mergeCell ref="L9:M9"/>
    <mergeCell ref="P9:P10"/>
    <mergeCell ref="R9:S9"/>
  </mergeCells>
  <dataValidations count="2">
    <dataValidation type="textLength" operator="lessThanOrEqual" allowBlank="1" showInputMessage="1" showErrorMessage="1" errorTitle="Ошибка" error="Допускается ввод не более 900 символов!" sqref="AI29 AI23 P17:P20 J23:J27 J29:J33 AI35 J35:J39 P35:P38 P29:P32 AI17 J17:J21 P23:P26 AI11 J11:J15 P11:P14">
      <formula1>900</formula1>
    </dataValidation>
    <dataValidation type="list" errorStyle="warning" allowBlank="1" showInputMessage="1" errorTitle="Ошибка" error="Выберите значение из списка" prompt="Выберите значение из списка или укажите свой вид твердых коммунальных отходов" sqref="AC17 AC23 AC35 AC29 AC11">
      <formula1>list_typeTKO</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6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870D08F-3B56-A45C-8A5F-5D08FAC07A18}" mc:Ignorable="x14ac xr xr2 xr3">
  <sheetPr>
    <tabColor rgb="FFCCCCFF"/>
  </sheetPr>
  <dimension ref="A1:F5"/>
  <sheetViews>
    <sheetView topLeftCell="A1" showGridLines="0" zoomScale="90" workbookViewId="0">
      <selection activeCell="A1" sqref="A1"/>
    </sheetView>
  </sheetViews>
  <sheetFormatPr defaultColWidth="9.140625" customHeight="1" defaultRowHeight="11.25"/>
  <cols>
    <col min="1" max="1" style="1850" width="1.7109375" customWidth="1"/>
    <col min="2" max="2" style="1850" width="34.57421875" customWidth="1"/>
    <col min="3" max="3" style="1850" width="85.00390625" customWidth="1"/>
    <col min="4" max="4" style="1850" width="17.00390625" customWidth="1"/>
    <col min="5" max="5" style="1850" width="8.00390625" customWidth="1"/>
    <col min="6" max="6" style="1850" width="9.140625" hidden="1"/>
  </cols>
  <sheetData>
    <row customHeight="1" ht="3">
      <c r="F1" s="89" t="s">
        <v>14</v>
      </c>
    </row>
    <row customHeight="1" ht="22.5">
      <c r="B2" s="2613" t="s">
        <v>1900</v>
      </c>
      <c r="C2" s="2500"/>
      <c r="D2" s="2500"/>
      <c r="E2" s="268"/>
      <c r="F2" s="89">
        <v>22</v>
      </c>
    </row>
    <row customHeight="1" ht="3">
      <c r="F3" s="89">
        <v>3</v>
      </c>
    </row>
    <row customHeight="1" ht="23.25">
      <c r="B4" s="2614" t="s">
        <v>1901</v>
      </c>
      <c r="C4" s="383" t="s">
        <v>1902</v>
      </c>
      <c r="D4" s="383" t="s">
        <v>1903</v>
      </c>
      <c r="F4" s="89">
        <v>22</v>
      </c>
    </row>
    <row customHeight="1" ht="11.25" hidden="1">
      <c r="A5" s="89" t="s">
        <v>82</v>
      </c>
      <c r="B5" s="89">
        <v>34</v>
      </c>
      <c r="C5" s="89">
        <v>85</v>
      </c>
      <c r="D5" s="89">
        <v>17</v>
      </c>
      <c r="E5" s="89">
        <v>8</v>
      </c>
      <c r="F5" s="89">
        <v>11</v>
      </c>
    </row>
  </sheetData>
  <sheetProtection formatColumns="0" formatRows="0" autoFilter="0" sort="0" insertRows="0" insertColumns="1" deleteRows="0" deleteColumns="0"/>
  <autoFilter ref="B4:D4"/>
  <mergeCells count="1">
    <mergeCell ref="B2:D2"/>
  </mergeCell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BB4CCCD-5935-855D-0A76-698F4909B81C}" mc:Ignorable="x14ac xr xr2 xr3">
  <sheetPr>
    <tabColor rgb="FFFFCC99"/>
  </sheetPr>
  <dimension ref="A1:GB215"/>
  <sheetViews>
    <sheetView topLeftCell="A1" showGridLines="0" zoomScale="85" workbookViewId="0">
      <selection activeCell="A1" sqref="A1"/>
    </sheetView>
  </sheetViews>
  <sheetFormatPr defaultColWidth="9.140625" customHeight="1" defaultRowHeight="17.1"/>
  <cols>
    <col min="1" max="1" style="1850" width="26.57421875" customWidth="1"/>
    <col min="2" max="2" style="1850" width="10.00390625" customWidth="1"/>
    <col min="3" max="3" style="1850" width="9.140625"/>
    <col min="4" max="4" style="1850" width="11.140625" customWidth="1"/>
    <col min="5" max="5" style="1850" width="16.57421875" customWidth="1"/>
    <col min="6" max="6" style="1850" width="16.28125" customWidth="1"/>
    <col min="7" max="7" style="1850" width="19.140625" customWidth="1"/>
    <col min="8" max="11" style="1850" width="10.00390625" customWidth="1"/>
    <col min="12" max="12" style="1850" width="12.7109375" customWidth="1"/>
    <col min="13" max="13" style="1850" width="61.28125" customWidth="1"/>
    <col min="14" max="14" style="1850" width="10.00390625" customWidth="1"/>
    <col min="15" max="17" style="1850" width="23.7109375" customWidth="1"/>
    <col min="18" max="18" style="1850" width="11.7109375" customWidth="1"/>
    <col min="19" max="19" style="1850" width="8.57421875" customWidth="1"/>
    <col min="20" max="20" style="1850" width="11.7109375" customWidth="1"/>
    <col min="21" max="21" style="1850" width="8.57421875" customWidth="1"/>
    <col min="22" max="22" style="1850" width="4.7109375" customWidth="1"/>
    <col min="23" max="23" style="1850" width="115.7109375" customWidth="1"/>
    <col min="24" max="24" style="1850" width="115.28125" customWidth="1"/>
    <col min="25" max="27" style="1850" width="9.140625"/>
    <col min="28" max="28" style="1850" width="115.7109375" customWidth="1"/>
    <col min="29" max="29" style="1850" width="9.140625"/>
    <col min="30" max="90" style="1850" width="115.7109375" customWidth="1"/>
    <col min="91" max="184" style="1850" width="9.140625"/>
  </cols>
  <sheetData>
    <row r="2" s="1815" customFormat="1" customHeight="1" ht="17.25">
      <c r="A2" s="1815" t="s">
        <v>1904</v>
      </c>
    </row>
    <row r="4" s="264" customFormat="1" customHeight="1" ht="15">
      <c r="C4" s="1816"/>
      <c r="D4" s="113"/>
      <c r="E4" s="377"/>
    </row>
    <row r="6" s="1815" customFormat="1" customHeight="1" ht="17.25">
      <c r="A6" s="1815" t="s">
        <v>1905</v>
      </c>
    </row>
    <row r="8" s="264" customFormat="1" customHeight="1" ht="17.25">
      <c r="C8" s="1817"/>
      <c r="D8" s="113"/>
      <c r="E8" s="114"/>
    </row>
    <row r="11" s="1815" customFormat="1" customHeight="1" ht="17.25">
      <c r="A11" s="1815" t="s">
        <v>1906</v>
      </c>
    </row>
    <row r="13" s="1819" customFormat="1" customHeight="1" ht="15">
      <c r="A13" s="2217">
        <v>1</v>
      </c>
      <c r="B13" s="1160"/>
      <c r="C13" s="801" t="s">
        <v>122</v>
      </c>
      <c r="D13" s="1818"/>
      <c r="E13" s="1805">
        <f>A13</f>
        <v>1</v>
      </c>
      <c r="F13" s="804"/>
      <c r="G13" s="540" t="str">
        <f>"Территория "&amp;E13</f>
        <v>Территория 1</v>
      </c>
      <c r="H13" s="792"/>
      <c r="I13" s="792"/>
      <c r="J13" s="789"/>
      <c r="K13" s="1624"/>
      <c r="L13" s="1624"/>
      <c r="M13" s="1624"/>
      <c r="N13" s="226"/>
      <c r="O13" s="1624"/>
      <c r="P13" s="225"/>
      <c r="Q13" s="225"/>
      <c r="R13" s="225"/>
      <c r="S13" s="225"/>
    </row>
    <row s="1850" customFormat="1" customHeight="1" ht="15">
      <c r="A14" s="2217"/>
      <c r="B14" s="1160">
        <v>1</v>
      </c>
      <c r="C14" s="1160"/>
      <c r="D14" s="800"/>
      <c r="E14" s="1813" t="str">
        <f>A13&amp;"."&amp;B14</f>
        <v>1.1</v>
      </c>
      <c r="F14" s="803">
        <f>$F$20</f>
        <v>0</v>
      </c>
      <c r="G14" s="793"/>
      <c r="H14" s="793"/>
      <c r="I14" s="791"/>
      <c r="J14" s="1624"/>
      <c r="K14" s="1636"/>
      <c r="L14" s="1636"/>
      <c r="M14" s="1624" t="str">
        <f t="array" ref="M14:M14">IF(ISERROR(MATCH(MID(N14,1,250),MID(note_ter,1,250),0)),"n","y")</f>
        <v>n</v>
      </c>
      <c r="N14" s="1636"/>
      <c r="O14" s="1624" t="str">
        <f>H14&amp;"("&amp;I14&amp;")"</f>
        <v>()</v>
      </c>
      <c r="P14" s="1160"/>
      <c r="Q14" s="1160"/>
      <c r="R14" s="420"/>
      <c r="S14" s="1160"/>
      <c r="T14" s="1160"/>
      <c r="U14" s="1160"/>
      <c r="V14" s="422"/>
      <c r="W14" s="422"/>
      <c r="X14" s="419"/>
      <c r="Y14" s="419"/>
      <c r="Z14" s="419"/>
      <c r="AA14" s="419"/>
      <c r="AB14" s="419"/>
      <c r="AC14" s="419"/>
      <c r="AD14" s="419"/>
      <c r="AE14" s="419"/>
      <c r="AF14" s="419"/>
      <c r="AG14" s="419"/>
      <c r="AH14" s="419"/>
      <c r="AI14" s="419"/>
      <c r="AJ14" s="419"/>
      <c r="AK14" s="419"/>
      <c r="AL14" s="419"/>
      <c r="AM14" s="419"/>
      <c r="AN14" s="419"/>
      <c r="AO14" s="419"/>
      <c r="AP14" s="419"/>
      <c r="AQ14" s="419"/>
      <c r="AR14" s="419"/>
      <c r="AS14" s="419"/>
      <c r="AT14" s="419"/>
      <c r="AU14" s="419"/>
      <c r="AV14" s="419"/>
      <c r="AW14" s="419"/>
      <c r="AX14" s="419"/>
      <c r="AY14" s="419"/>
      <c r="AZ14" s="419"/>
      <c r="BA14" s="419"/>
      <c r="BB14" s="419"/>
      <c r="BC14" s="419"/>
      <c r="BD14" s="419"/>
      <c r="BE14" s="419"/>
      <c r="BF14" s="419"/>
      <c r="BG14" s="419"/>
      <c r="BH14" s="419"/>
      <c r="BI14" s="419"/>
      <c r="BJ14" s="419"/>
      <c r="BK14" s="419"/>
      <c r="BL14" s="419"/>
      <c r="BM14" s="419"/>
      <c r="BN14" s="419"/>
      <c r="BO14" s="419"/>
      <c r="BP14" s="419"/>
      <c r="BQ14" s="419"/>
      <c r="BR14" s="419"/>
      <c r="BS14" s="422"/>
      <c r="BT14" s="422"/>
      <c r="BU14" s="422"/>
      <c r="BV14" s="422"/>
      <c r="BW14" s="422"/>
      <c r="BX14" s="422"/>
      <c r="BY14" s="422"/>
      <c r="BZ14" s="422"/>
      <c r="CA14" s="422"/>
      <c r="CB14" s="422"/>
    </row>
    <row s="1850" customFormat="1" customHeight="1" ht="15">
      <c r="A15" s="2217"/>
      <c r="B15" s="1160"/>
      <c r="C15" s="412"/>
      <c r="D15" s="801"/>
      <c r="E15" s="421"/>
      <c r="F15" s="177"/>
      <c r="G15" s="415" t="s">
        <v>102</v>
      </c>
      <c r="H15" s="187"/>
      <c r="I15" s="424"/>
      <c r="J15" s="1636"/>
      <c r="K15" s="1636"/>
      <c r="L15" s="1636"/>
      <c r="M15" s="1636"/>
      <c r="N15" s="1624"/>
      <c r="O15" s="1636"/>
      <c r="P15" s="1160"/>
      <c r="Q15" s="1160"/>
      <c r="R15" s="420"/>
      <c r="S15" s="1160"/>
      <c r="T15" s="1160"/>
      <c r="U15" s="1160"/>
      <c r="V15" s="422"/>
      <c r="W15" s="422"/>
      <c r="X15" s="419"/>
      <c r="Y15" s="419"/>
      <c r="Z15" s="419"/>
      <c r="AA15" s="419"/>
      <c r="AB15" s="419"/>
      <c r="AC15" s="419"/>
      <c r="AD15" s="419"/>
      <c r="AE15" s="419"/>
      <c r="AF15" s="419"/>
      <c r="AG15" s="419"/>
      <c r="AH15" s="419"/>
      <c r="AI15" s="419"/>
      <c r="AJ15" s="419"/>
      <c r="AK15" s="419"/>
      <c r="AL15" s="419"/>
      <c r="AM15" s="419"/>
      <c r="AN15" s="419"/>
      <c r="AO15" s="419"/>
      <c r="AP15" s="419"/>
      <c r="AQ15" s="419"/>
      <c r="AR15" s="419"/>
      <c r="AS15" s="419"/>
      <c r="AT15" s="419"/>
      <c r="AU15" s="419"/>
      <c r="AV15" s="419"/>
      <c r="AW15" s="419"/>
      <c r="AX15" s="419"/>
      <c r="AY15" s="419"/>
      <c r="AZ15" s="419"/>
      <c r="BA15" s="419"/>
      <c r="BB15" s="419"/>
      <c r="BC15" s="419"/>
      <c r="BD15" s="419"/>
      <c r="BE15" s="419"/>
      <c r="BF15" s="419"/>
      <c r="BG15" s="419"/>
      <c r="BH15" s="419"/>
      <c r="BI15" s="419"/>
      <c r="BJ15" s="419"/>
      <c r="BK15" s="419"/>
      <c r="BL15" s="419"/>
      <c r="BM15" s="419"/>
      <c r="BN15" s="419"/>
      <c r="BO15" s="419"/>
      <c r="BP15" s="419"/>
      <c r="BQ15" s="419"/>
      <c r="BR15" s="419"/>
      <c r="BS15" s="422"/>
      <c r="BT15" s="422"/>
      <c r="BU15" s="422"/>
      <c r="BV15" s="422"/>
      <c r="BW15" s="422"/>
      <c r="BX15" s="422"/>
      <c r="BY15" s="422"/>
      <c r="BZ15" s="422"/>
      <c r="CA15" s="422"/>
      <c r="CB15" s="422"/>
    </row>
    <row r="17" s="1815" customFormat="1" customHeight="1" ht="17.25">
      <c r="A17" s="1815" t="s">
        <v>1907</v>
      </c>
    </row>
    <row r="19" s="1850" customFormat="1" customHeight="1" ht="15">
      <c r="A19" s="1882"/>
      <c r="B19" s="1366">
        <v>1</v>
      </c>
      <c r="C19" s="1366"/>
      <c r="D19" s="800" t="s">
        <v>122</v>
      </c>
      <c r="E19" s="1878"/>
      <c r="F19" s="1883">
        <f>$F$20</f>
        <v>0</v>
      </c>
      <c r="G19" s="1887"/>
      <c r="H19" s="1887"/>
      <c r="I19" s="1885"/>
      <c r="J19" s="1624"/>
      <c r="K19" s="1636"/>
      <c r="L19" s="1636"/>
      <c r="M19" s="1624" t="str">
        <f t="array" ref="M19:M19">IF(ISERROR(MATCH(MID(N19,1,250),MID(note_ter,1,250),0)),"n","y")</f>
        <v>n</v>
      </c>
      <c r="N19" s="1636"/>
      <c r="O19" s="1624" t="str">
        <f>H19&amp;"("&amp;I19&amp;")"</f>
        <v>()</v>
      </c>
      <c r="P19" s="1366"/>
      <c r="Q19" s="1366"/>
      <c r="R19" s="420"/>
      <c r="S19" s="1366"/>
      <c r="T19" s="1366"/>
      <c r="U19" s="1366"/>
      <c r="V19" s="833"/>
      <c r="W19" s="833"/>
      <c r="X19" s="627"/>
      <c r="Y19" s="627"/>
      <c r="Z19" s="627"/>
      <c r="AA19" s="627"/>
      <c r="AB19" s="627"/>
      <c r="AC19" s="627"/>
      <c r="AD19" s="627"/>
      <c r="AE19" s="627"/>
      <c r="AF19" s="627"/>
      <c r="AG19" s="627"/>
      <c r="AH19" s="627"/>
      <c r="AI19" s="627"/>
      <c r="AJ19" s="627"/>
      <c r="AK19" s="627"/>
      <c r="AL19" s="627"/>
      <c r="AM19" s="627"/>
      <c r="AN19" s="627"/>
      <c r="AO19" s="627"/>
      <c r="AP19" s="627"/>
      <c r="AQ19" s="627"/>
      <c r="AR19" s="627"/>
      <c r="AS19" s="627"/>
      <c r="AT19" s="627"/>
      <c r="AU19" s="627"/>
      <c r="AV19" s="627"/>
      <c r="AW19" s="627"/>
      <c r="AX19" s="627"/>
      <c r="AY19" s="627"/>
      <c r="AZ19" s="627"/>
      <c r="BA19" s="627"/>
      <c r="BB19" s="627"/>
      <c r="BC19" s="627"/>
      <c r="BD19" s="627"/>
      <c r="BE19" s="627"/>
      <c r="BF19" s="627"/>
      <c r="BG19" s="627"/>
      <c r="BH19" s="627"/>
      <c r="BI19" s="627"/>
      <c r="BJ19" s="627"/>
      <c r="BK19" s="627"/>
      <c r="BL19" s="627"/>
      <c r="BM19" s="627"/>
      <c r="BN19" s="627"/>
      <c r="BO19" s="627"/>
      <c r="BP19" s="627"/>
      <c r="BQ19" s="627"/>
      <c r="BR19" s="627"/>
      <c r="BS19" s="833"/>
      <c r="BT19" s="833"/>
      <c r="BU19" s="833"/>
      <c r="BV19" s="833"/>
      <c r="BW19" s="833"/>
      <c r="BX19" s="833"/>
      <c r="BY19" s="833"/>
      <c r="BZ19" s="833"/>
      <c r="CA19" s="833"/>
      <c r="CB19" s="833"/>
    </row>
    <row r="21" s="1850" customFormat="1" customHeight="1" ht="15">
      <c r="A21" s="1815" t="s">
        <v>1908</v>
      </c>
      <c r="B21" s="1815"/>
      <c r="C21" s="1815"/>
      <c r="D21" s="1815"/>
      <c r="E21" s="1815"/>
      <c r="F21" s="1815"/>
      <c r="G21" s="1815"/>
      <c r="H21" s="1815"/>
      <c r="I21" s="1815"/>
      <c r="J21" s="1815"/>
      <c r="K21" s="1815"/>
      <c r="L21" s="1815"/>
      <c r="M21" s="1815"/>
      <c r="N21" s="1815"/>
      <c r="O21" s="1815"/>
      <c r="P21" s="1815"/>
      <c r="Q21" s="1815"/>
      <c r="R21" s="1815"/>
      <c r="S21" s="1815"/>
      <c r="T21" s="1815"/>
      <c r="U21" s="184"/>
      <c r="V21" s="1815"/>
      <c r="W21" s="1815"/>
    </row>
    <row s="1850" customFormat="1" customHeight="1" ht="15">
      <c r="U22" s="185"/>
    </row>
    <row s="1853" customFormat="1" customHeight="1" ht="15">
      <c r="A23" s="423"/>
      <c r="B23" s="423"/>
      <c r="C23" s="1728" t="s">
        <v>122</v>
      </c>
      <c r="D23" s="2108" t="s">
        <v>109</v>
      </c>
      <c r="E23" s="2109"/>
      <c r="F23" s="2107" t="s">
        <v>19</v>
      </c>
      <c r="G23" s="2557"/>
      <c r="H23" s="2127">
        <v>1</v>
      </c>
      <c r="I23" s="2559" t="str">
        <f>IF(U23="","",INDEX(TERRITORY_MR_LIST,MATCH(U23,TERRITORY_LIST_ID,0)))</f>
        <v/>
      </c>
      <c r="J23" s="2107" t="s">
        <v>19</v>
      </c>
      <c r="K23" s="832"/>
      <c r="L23" s="1782" t="s">
        <v>109</v>
      </c>
      <c r="M23" s="603"/>
      <c r="N23" s="604"/>
      <c r="O23" s="604"/>
      <c r="P23" s="604"/>
      <c r="Q23" s="604"/>
      <c r="R23" s="604"/>
      <c r="S23" s="604"/>
      <c r="T23" s="604"/>
      <c r="U23" s="605"/>
      <c r="V23" s="604"/>
      <c r="W23" s="604"/>
      <c r="X23" s="595"/>
      <c r="Y23" s="595" t="s">
        <v>119</v>
      </c>
      <c r="Z23" s="595">
        <v>1705000</v>
      </c>
      <c r="AA23" s="595"/>
      <c r="AB23" s="595"/>
      <c r="AC23" s="595"/>
      <c r="AD23" s="595"/>
      <c r="AE23" s="595"/>
      <c r="AF23" s="595"/>
      <c r="AG23" s="595"/>
      <c r="AH23" s="595"/>
      <c r="AI23" s="595"/>
      <c r="AJ23" s="595"/>
      <c r="AK23" s="595"/>
      <c r="AL23" s="595"/>
    </row>
    <row s="1853" customFormat="1" customHeight="1" ht="15">
      <c r="A24" s="423"/>
      <c r="B24" s="423"/>
      <c r="C24" s="176"/>
      <c r="D24" s="2108"/>
      <c r="E24" s="2110"/>
      <c r="F24" s="2107"/>
      <c r="G24" s="2558"/>
      <c r="H24" s="2127"/>
      <c r="I24" s="2560"/>
      <c r="J24" s="2107"/>
      <c r="K24" s="421"/>
      <c r="L24" s="177"/>
      <c r="M24" s="607" t="s">
        <v>120</v>
      </c>
      <c r="N24" s="604"/>
      <c r="O24" s="604"/>
      <c r="P24" s="604"/>
      <c r="Q24" s="604"/>
      <c r="R24" s="604"/>
      <c r="S24" s="604"/>
      <c r="T24" s="604"/>
      <c r="U24" s="605"/>
      <c r="V24" s="604"/>
      <c r="W24" s="604"/>
      <c r="X24" s="595"/>
      <c r="Y24" s="595"/>
      <c r="Z24" s="595"/>
      <c r="AA24" s="595"/>
      <c r="AB24" s="595"/>
      <c r="AC24" s="595"/>
      <c r="AD24" s="595"/>
      <c r="AE24" s="595"/>
      <c r="AF24" s="595"/>
      <c r="AG24" s="595"/>
      <c r="AH24" s="595"/>
      <c r="AI24" s="595"/>
      <c r="AJ24" s="595"/>
      <c r="AK24" s="595"/>
      <c r="AL24" s="595"/>
    </row>
    <row s="1853" customFormat="1" customHeight="1" ht="15">
      <c r="A25" s="423"/>
      <c r="B25" s="423"/>
      <c r="C25" s="176"/>
      <c r="D25" s="2108"/>
      <c r="E25" s="2111"/>
      <c r="F25" s="2107"/>
      <c r="G25" s="421"/>
      <c r="H25" s="177"/>
      <c r="I25" s="580" t="s">
        <v>121</v>
      </c>
      <c r="J25" s="177"/>
      <c r="K25" s="177"/>
      <c r="L25" s="177"/>
      <c r="M25" s="608"/>
      <c r="N25" s="604"/>
      <c r="O25" s="604"/>
      <c r="P25" s="604"/>
      <c r="Q25" s="604"/>
      <c r="R25" s="604"/>
      <c r="S25" s="604"/>
      <c r="T25" s="604"/>
      <c r="U25" s="605"/>
      <c r="V25" s="604"/>
      <c r="W25" s="604"/>
      <c r="X25" s="595"/>
      <c r="Y25" s="595"/>
      <c r="Z25" s="595"/>
      <c r="AA25" s="595"/>
      <c r="AB25" s="595"/>
      <c r="AC25" s="595"/>
      <c r="AD25" s="595"/>
      <c r="AE25" s="595"/>
      <c r="AF25" s="595"/>
      <c r="AG25" s="595"/>
      <c r="AH25" s="595"/>
      <c r="AI25" s="595"/>
      <c r="AJ25" s="595"/>
      <c r="AK25" s="595"/>
      <c r="AL25" s="595"/>
    </row>
    <row s="1850" customFormat="1" customHeight="1" ht="15">
      <c r="U26" s="185"/>
    </row>
    <row s="1850" customFormat="1" customHeight="1" ht="15">
      <c r="A27" s="1815" t="s">
        <v>1909</v>
      </c>
      <c r="B27" s="1815"/>
      <c r="C27" s="1815"/>
      <c r="D27" s="1815"/>
      <c r="E27" s="1815"/>
      <c r="F27" s="1815"/>
      <c r="G27" s="1815"/>
      <c r="H27" s="1815"/>
      <c r="I27" s="1815"/>
      <c r="J27" s="1815"/>
      <c r="K27" s="1815"/>
      <c r="L27" s="1815"/>
      <c r="M27" s="1815"/>
      <c r="N27" s="1815"/>
      <c r="O27" s="1815"/>
      <c r="P27" s="1815"/>
      <c r="Q27" s="1815"/>
      <c r="R27" s="1815"/>
      <c r="S27" s="1815"/>
      <c r="T27" s="1815"/>
      <c r="U27" s="184"/>
      <c r="V27" s="1815"/>
      <c r="W27" s="1815"/>
    </row>
    <row s="1850" customFormat="1" customHeight="1" ht="15">
      <c r="U28" s="185"/>
    </row>
    <row s="1853" customFormat="1" customHeight="1" ht="15">
      <c r="A29" s="423"/>
      <c r="B29" s="423"/>
      <c r="C29" s="176"/>
      <c r="D29" s="1821"/>
      <c r="E29" s="1821"/>
      <c r="F29" s="1821"/>
      <c r="G29" s="2561" t="s">
        <v>122</v>
      </c>
      <c r="H29" s="2103">
        <v>1</v>
      </c>
      <c r="I29" s="2562" t="str">
        <f>IF(U29="","",INDEX(TERRITORY_MR_LIST,MATCH(U29,TERRITORY_LIST_ID,0)))</f>
        <v/>
      </c>
      <c r="J29" s="2107" t="s">
        <v>19</v>
      </c>
      <c r="K29" s="832"/>
      <c r="L29" s="1782" t="s">
        <v>109</v>
      </c>
      <c r="M29" s="603"/>
      <c r="N29" s="604"/>
      <c r="O29" s="604"/>
      <c r="P29" s="604"/>
      <c r="Q29" s="604"/>
      <c r="R29" s="604"/>
      <c r="S29" s="604"/>
      <c r="T29" s="604"/>
      <c r="U29" s="605"/>
      <c r="V29" s="604"/>
      <c r="W29" s="604"/>
      <c r="X29" s="595"/>
      <c r="Y29" s="595" t="s">
        <v>119</v>
      </c>
      <c r="Z29" s="595">
        <v>1705000</v>
      </c>
      <c r="AA29" s="595"/>
      <c r="AB29" s="595"/>
      <c r="AC29" s="595"/>
      <c r="AD29" s="595"/>
      <c r="AE29" s="595"/>
      <c r="AF29" s="595"/>
      <c r="AG29" s="595"/>
      <c r="AH29" s="595"/>
      <c r="AI29" s="595"/>
      <c r="AJ29" s="595"/>
      <c r="AK29" s="595"/>
      <c r="AL29" s="595"/>
    </row>
    <row s="1853" customFormat="1" customHeight="1" ht="15">
      <c r="A30" s="423"/>
      <c r="B30" s="423"/>
      <c r="C30" s="176"/>
      <c r="D30" s="1821"/>
      <c r="E30" s="1821"/>
      <c r="F30" s="1821"/>
      <c r="G30" s="2561"/>
      <c r="H30" s="2103"/>
      <c r="I30" s="2562"/>
      <c r="J30" s="2107"/>
      <c r="K30" s="421"/>
      <c r="L30" s="177"/>
      <c r="M30" s="607" t="s">
        <v>120</v>
      </c>
      <c r="N30" s="604"/>
      <c r="O30" s="604"/>
      <c r="P30" s="604"/>
      <c r="Q30" s="604"/>
      <c r="R30" s="604"/>
      <c r="S30" s="604"/>
      <c r="T30" s="604"/>
      <c r="U30" s="605"/>
      <c r="V30" s="604"/>
      <c r="W30" s="604"/>
      <c r="X30" s="595"/>
      <c r="Y30" s="595"/>
      <c r="Z30" s="595"/>
      <c r="AA30" s="595"/>
      <c r="AB30" s="595"/>
      <c r="AC30" s="595"/>
      <c r="AD30" s="595"/>
      <c r="AE30" s="595"/>
      <c r="AF30" s="595"/>
      <c r="AG30" s="595"/>
      <c r="AH30" s="595"/>
      <c r="AI30" s="595"/>
      <c r="AJ30" s="595"/>
      <c r="AK30" s="595"/>
      <c r="AL30" s="595"/>
    </row>
    <row s="1850" customFormat="1" customHeight="1" ht="15">
      <c r="U31" s="185"/>
    </row>
    <row s="1850" customFormat="1" customHeight="1" ht="15">
      <c r="A32" s="1815" t="s">
        <v>1910</v>
      </c>
      <c r="B32" s="1815"/>
      <c r="C32" s="1815"/>
      <c r="D32" s="1815"/>
      <c r="E32" s="1815"/>
      <c r="F32" s="1815"/>
      <c r="G32" s="1815"/>
      <c r="H32" s="1815"/>
      <c r="I32" s="1815"/>
      <c r="J32" s="1815"/>
      <c r="K32" s="1815"/>
      <c r="L32" s="1815"/>
      <c r="M32" s="1815"/>
      <c r="N32" s="1815"/>
      <c r="O32" s="1815"/>
      <c r="P32" s="1815"/>
      <c r="Q32" s="1815"/>
      <c r="R32" s="1815"/>
      <c r="S32" s="1815"/>
      <c r="T32" s="1815"/>
      <c r="U32" s="184"/>
      <c r="V32" s="1815"/>
      <c r="W32" s="1815"/>
    </row>
    <row s="1850" customFormat="1" customHeight="1" ht="15">
      <c r="U33" s="185"/>
    </row>
    <row s="1853" customFormat="1" customHeight="1" ht="15">
      <c r="A34" s="423"/>
      <c r="B34" s="423"/>
      <c r="C34" s="176"/>
      <c r="D34" s="1821"/>
      <c r="E34" s="1821"/>
      <c r="F34" s="1821"/>
      <c r="G34" s="1821"/>
      <c r="H34" s="1821"/>
      <c r="I34" s="1821"/>
      <c r="J34" s="1821"/>
      <c r="K34" s="1799" t="s">
        <v>122</v>
      </c>
      <c r="L34" s="1729" t="s">
        <v>109</v>
      </c>
      <c r="M34" s="811"/>
      <c r="N34" s="812"/>
      <c r="O34" s="604"/>
      <c r="P34" s="604"/>
      <c r="Q34" s="604"/>
      <c r="R34" s="604"/>
      <c r="S34" s="604"/>
      <c r="T34" s="604"/>
      <c r="U34" s="605"/>
      <c r="V34" s="604"/>
      <c r="W34" s="604"/>
      <c r="X34" s="595"/>
      <c r="Y34" s="595" t="s">
        <v>119</v>
      </c>
      <c r="Z34" s="595">
        <v>1705000</v>
      </c>
      <c r="AA34" s="595"/>
      <c r="AB34" s="595"/>
      <c r="AC34" s="595"/>
      <c r="AD34" s="595"/>
      <c r="AE34" s="595"/>
      <c r="AF34" s="595"/>
      <c r="AG34" s="595"/>
      <c r="AH34" s="595"/>
      <c r="AI34" s="595"/>
      <c r="AJ34" s="595"/>
      <c r="AK34" s="595"/>
      <c r="AL34" s="595"/>
    </row>
    <row s="1850" customFormat="1" customHeight="1" ht="15">
      <c r="U35" s="185"/>
    </row>
    <row s="1850" customFormat="1" customHeight="1" ht="15">
      <c r="U36" s="185"/>
    </row>
    <row s="1815" customFormat="1" customHeight="1" ht="11.25">
      <c r="A37" s="1815" t="s">
        <v>1911</v>
      </c>
    </row>
    <row customHeight="1" ht="11.25"/>
    <row s="455" customFormat="1" customHeight="1" ht="22.5">
      <c r="A39" s="1791"/>
      <c r="B39" s="457"/>
      <c r="C39" s="859"/>
      <c r="D39" s="440"/>
      <c r="E39" s="860"/>
      <c r="F39" s="1812"/>
      <c r="G39" s="1822"/>
      <c r="H39" s="475"/>
    </row>
    <row customHeight="1" ht="11.25"/>
    <row s="1815" customFormat="1" customHeight="1" ht="11.25">
      <c r="A41" s="1815" t="s">
        <v>1912</v>
      </c>
    </row>
    <row customHeight="1" ht="11.25"/>
    <row s="455" customFormat="1" customHeight="1" ht="22.5">
      <c r="A43" s="457"/>
      <c r="B43" s="457"/>
      <c r="C43" s="457"/>
      <c r="D43" s="440"/>
      <c r="E43" s="860"/>
      <c r="F43" s="861"/>
      <c r="G43" s="1822"/>
      <c r="H43" s="475"/>
    </row>
    <row customHeight="1" ht="11.25"/>
    <row s="1815" customFormat="1" customHeight="1" ht="11.25">
      <c r="A45" s="1815" t="s">
        <v>1913</v>
      </c>
    </row>
    <row customHeight="1" ht="11.25"/>
    <row s="455" customFormat="1" customHeight="1" ht="24">
      <c r="A47" s="2202" t="s">
        <v>315</v>
      </c>
      <c r="B47" s="502"/>
      <c r="C47" s="2213"/>
      <c r="D47" s="445" t="str">
        <f>A47</f>
        <v>5.1</v>
      </c>
      <c r="E47" s="442" t="s">
        <v>316</v>
      </c>
      <c r="F47" s="1976" t="s">
        <v>308</v>
      </c>
      <c r="G47" s="444" t="s">
        <v>317</v>
      </c>
      <c r="H47" s="475"/>
      <c r="I47" s="852"/>
    </row>
    <row s="455" customFormat="1" customHeight="1" ht="22.5">
      <c r="A48" s="2202"/>
      <c r="B48" s="502"/>
      <c r="C48" s="2213"/>
      <c r="D48" s="440" t="str">
        <f>D47&amp;".1"</f>
        <v>5.1.1</v>
      </c>
      <c r="E48" s="439" t="s">
        <v>318</v>
      </c>
      <c r="F48" s="1977" t="s">
        <v>22</v>
      </c>
      <c r="G48" s="474"/>
      <c r="H48" s="475"/>
      <c r="I48" s="852"/>
    </row>
    <row s="455" customFormat="1" customHeight="1" ht="22.5">
      <c r="A49" s="2202"/>
      <c r="B49" s="502"/>
      <c r="C49" s="2213"/>
      <c r="D49" s="440" t="str">
        <f>D47&amp;".2"</f>
        <v>5.1.2</v>
      </c>
      <c r="E49" s="439" t="s">
        <v>319</v>
      </c>
      <c r="F49" s="1732" t="s">
        <v>22</v>
      </c>
      <c r="G49" s="444" t="s">
        <v>320</v>
      </c>
      <c r="H49" s="475"/>
      <c r="I49" s="852"/>
    </row>
    <row s="455" customFormat="1" customHeight="1" ht="22.5">
      <c r="A50" s="2202"/>
      <c r="B50" s="502"/>
      <c r="C50" s="2213"/>
      <c r="D50" s="440" t="str">
        <f>D47&amp;".3"</f>
        <v>5.1.3</v>
      </c>
      <c r="E50" s="439" t="s">
        <v>321</v>
      </c>
      <c r="F50" s="1977" t="s">
        <v>22</v>
      </c>
      <c r="G50" s="474"/>
      <c r="H50" s="475"/>
      <c r="I50" s="852"/>
    </row>
    <row s="455" customFormat="1" customHeight="1" ht="22.5">
      <c r="A51" s="2202"/>
      <c r="B51" s="502"/>
      <c r="C51" s="2213"/>
      <c r="D51" s="440" t="str">
        <f>D47&amp;".4"</f>
        <v>5.1.4</v>
      </c>
      <c r="E51" s="439" t="s">
        <v>322</v>
      </c>
      <c r="F51" s="1977" t="s">
        <v>22</v>
      </c>
      <c r="G51" s="444" t="s">
        <v>323</v>
      </c>
      <c r="H51" s="475"/>
      <c r="I51" s="852"/>
    </row>
    <row r="54" s="1815" customFormat="1" customHeight="1" ht="17.25">
      <c r="A54" s="1815" t="s">
        <v>1914</v>
      </c>
    </row>
    <row r="56" s="1612" customFormat="1" customHeight="1" ht="18.75">
      <c r="A56" s="89"/>
      <c r="B56" s="1823"/>
      <c r="C56" s="1823"/>
      <c r="D56" s="1824"/>
      <c r="E56" s="1809"/>
      <c r="F56" s="868">
        <v>13</v>
      </c>
      <c r="G56" s="867"/>
      <c r="H56" s="793"/>
      <c r="I56" s="791"/>
      <c r="J56" s="520" t="s">
        <v>66</v>
      </c>
      <c r="K56" s="1825" t="s">
        <v>22</v>
      </c>
      <c r="L56" s="89"/>
      <c r="M56" s="1636"/>
      <c r="N56" s="1636"/>
      <c r="O56" s="1636"/>
      <c r="P56" s="516" t="s">
        <v>394</v>
      </c>
      <c r="Q56" s="516" t="s">
        <v>395</v>
      </c>
      <c r="R56" s="517" t="s">
        <v>396</v>
      </c>
      <c r="S56" s="1636" t="s">
        <v>397</v>
      </c>
      <c r="T56" s="1636"/>
      <c r="U56" s="1636"/>
      <c r="V56" s="1636"/>
    </row>
    <row r="58" s="1815" customFormat="1" customHeight="1" ht="11.25">
      <c r="A58" s="1815" t="s">
        <v>1915</v>
      </c>
    </row>
    <row r="60" s="1635" customFormat="1" customHeight="1" ht="14.25">
      <c r="C60" s="1688"/>
      <c r="D60" s="1869"/>
      <c r="E60" s="1777" t="s">
        <v>22</v>
      </c>
      <c r="F60" s="1868"/>
      <c r="G60" s="856"/>
      <c r="H60" s="1778"/>
      <c r="I60" s="1778"/>
      <c r="J60" s="433"/>
      <c r="K60" s="1863"/>
      <c r="L60" s="432"/>
      <c r="M60" s="1863"/>
      <c r="N60" s="433"/>
      <c r="O60" s="1863"/>
      <c r="P60" s="433"/>
      <c r="Q60" s="1863"/>
      <c r="R60" s="433"/>
      <c r="S60" s="854"/>
      <c r="T60" s="1778"/>
      <c r="U60" s="433"/>
      <c r="V60" s="433"/>
      <c r="W60" s="1867"/>
      <c r="X60" s="1778"/>
      <c r="Y60" s="433"/>
      <c r="Z60" s="433"/>
      <c r="AA60" s="1867"/>
      <c r="AB60" s="1778"/>
      <c r="AC60" s="433"/>
      <c r="AD60" s="1867"/>
      <c r="AE60" s="89"/>
      <c r="AF60" s="89"/>
      <c r="AG60" s="89"/>
      <c r="AH60" s="89"/>
      <c r="AJ60" s="1636"/>
      <c r="AK60" s="1636"/>
      <c r="AL60" s="1636"/>
      <c r="AM60" s="1636"/>
      <c r="AN60" s="1636"/>
      <c r="AO60" s="1636"/>
      <c r="AP60" s="1624" t="s">
        <v>383</v>
      </c>
      <c r="AQ60" s="1624" t="s">
        <v>383</v>
      </c>
      <c r="AR60" s="1636"/>
      <c r="AS60" s="1636"/>
    </row>
    <row r="62" s="1815" customFormat="1" customHeight="1" ht="11.25">
      <c r="A62" s="1815" t="s">
        <v>1916</v>
      </c>
    </row>
    <row r="64" s="1823" customFormat="1" customHeight="1" ht="15">
      <c r="A64" s="145" t="s">
        <v>90</v>
      </c>
      <c r="B64" s="125" t="s">
        <v>22</v>
      </c>
      <c r="C64" s="1826"/>
      <c r="D64" s="128"/>
      <c r="E64" s="381"/>
      <c r="F64" s="381"/>
      <c r="G64" s="1803"/>
      <c r="H64" s="1825"/>
      <c r="I64" s="1804"/>
      <c r="K64" s="272"/>
      <c r="L64" s="273"/>
    </row>
    <row r="66" s="1815" customFormat="1" customHeight="1" ht="11.25">
      <c r="A66" s="1815" t="s">
        <v>1917</v>
      </c>
    </row>
    <row r="68" s="1635" customFormat="1" customHeight="1" ht="14.25">
      <c r="A68" s="343"/>
      <c r="B68" s="1160"/>
      <c r="C68" s="376"/>
      <c r="D68" s="1810"/>
      <c r="E68" s="886"/>
      <c r="F68" s="1825"/>
      <c r="G68" s="89"/>
      <c r="I68" s="1624"/>
      <c r="J68" s="1624"/>
    </row>
    <row r="70" s="1815" customFormat="1" customHeight="1" ht="11.25">
      <c r="A70" s="1815" t="s">
        <v>1918</v>
      </c>
    </row>
    <row r="72" s="1635" customFormat="1" customHeight="1" ht="27">
      <c r="A72" s="1166"/>
      <c r="B72" s="1166"/>
      <c r="C72" s="1166"/>
      <c r="D72" s="1160"/>
      <c r="E72" s="1827"/>
      <c r="F72" s="2581"/>
      <c r="G72" s="2582"/>
      <c r="H72" s="2583" t="s">
        <v>66</v>
      </c>
      <c r="I72" s="2585"/>
      <c r="J72" s="2548"/>
      <c r="K72" s="2587"/>
      <c r="L72" s="2550"/>
      <c r="M72" s="2550"/>
      <c r="N72" s="2551"/>
      <c r="O72" s="2551"/>
      <c r="P72" s="2552">
        <f>DATEDIF(DATEVALUE(N72),DATEVALUE(O72),"y")&amp;"г. "&amp;DATEDIF(DATEVALUE(N72),DATEVALUE(O72),"ym")&amp;"мес. "&amp;DATEVALUE(O72)-DATE(YEAR(DATEVALUE(O72)),MONTH(DATEVALUE(O72)),1)&amp;"дн. "</f>
      </c>
      <c r="Q72" s="2547"/>
      <c r="R72" s="2547"/>
      <c r="S72" s="2547"/>
      <c r="T72" s="2548"/>
      <c r="U72" s="2547"/>
      <c r="V72" s="2547"/>
      <c r="W72" s="2547"/>
      <c r="X72" s="2548"/>
      <c r="Y72" s="2545" t="s">
        <v>66</v>
      </c>
      <c r="Z72" s="1808"/>
      <c r="AA72" s="1792">
        <v>1</v>
      </c>
      <c r="AB72" s="1242"/>
      <c r="AD72" s="1636" t="s">
        <v>1919</v>
      </c>
    </row>
    <row s="1635" customFormat="1" customHeight="1" ht="10.5">
      <c r="A73" s="1166"/>
      <c r="B73" s="1166"/>
      <c r="C73" s="1166"/>
      <c r="D73" s="1160"/>
      <c r="E73" s="947"/>
      <c r="F73" s="2581"/>
      <c r="G73" s="2582"/>
      <c r="H73" s="2584"/>
      <c r="I73" s="2586"/>
      <c r="J73" s="2549"/>
      <c r="K73" s="2587"/>
      <c r="L73" s="2550"/>
      <c r="M73" s="2550"/>
      <c r="N73" s="2551"/>
      <c r="O73" s="2551"/>
      <c r="P73" s="2552"/>
      <c r="Q73" s="2547"/>
      <c r="R73" s="2547"/>
      <c r="S73" s="2547"/>
      <c r="T73" s="2549"/>
      <c r="U73" s="2547"/>
      <c r="V73" s="2547"/>
      <c r="W73" s="2547"/>
      <c r="X73" s="2549"/>
      <c r="Y73" s="2546"/>
      <c r="Z73" s="347"/>
      <c r="AA73" s="572"/>
      <c r="AB73" s="652" t="s">
        <v>1920</v>
      </c>
    </row>
    <row r="75" s="1815" customFormat="1" customHeight="1" ht="11.25">
      <c r="A75" s="1815" t="s">
        <v>1921</v>
      </c>
    </row>
    <row r="77" s="1635" customFormat="1" customHeight="1" ht="27">
      <c r="A77" s="1166"/>
      <c r="B77" s="1166"/>
      <c r="C77" s="1166"/>
      <c r="D77" s="1160"/>
      <c r="E77" s="1827"/>
      <c r="F77" s="1797"/>
      <c r="G77" s="1747"/>
      <c r="H77" s="1748"/>
      <c r="I77" s="1749"/>
      <c r="J77" s="1750"/>
      <c r="K77" s="1751"/>
      <c r="L77" s="1752"/>
      <c r="M77" s="1752"/>
      <c r="N77" s="1753"/>
      <c r="O77" s="1753"/>
      <c r="P77" s="1754"/>
      <c r="Q77" s="1755"/>
      <c r="R77" s="1755"/>
      <c r="S77" s="1755"/>
      <c r="T77" s="1750"/>
      <c r="U77" s="1755"/>
      <c r="V77" s="1755"/>
      <c r="W77" s="1755"/>
      <c r="X77" s="1750"/>
      <c r="Y77" s="1748"/>
      <c r="Z77" s="1808"/>
      <c r="AA77" s="1792">
        <v>1</v>
      </c>
      <c r="AB77" s="1242"/>
      <c r="AD77" s="1636" t="s">
        <v>1919</v>
      </c>
    </row>
    <row r="79" s="1815" customFormat="1" customHeight="1" ht="11.25">
      <c r="A79" s="1815" t="s">
        <v>1922</v>
      </c>
    </row>
    <row customHeight="1" ht="17.25"/>
    <row s="1635" customFormat="1" customHeight="1" ht="21">
      <c r="A81" s="1167"/>
      <c r="B81" s="1166"/>
      <c r="C81" s="1166"/>
      <c r="D81" s="1160"/>
      <c r="E81" s="1170"/>
      <c r="F81" s="1122">
        <f>INDEX(IP_MAIN_LIST_NAME_IP,MATCH(A81,IP_MAIN_LIST_IP_ID,0))&amp;" ("&amp;INDEX(IP_MAIN_START_DATE,MATCH(A81,IP_MAIN_LIST_IP_ID,0))&amp;"-"&amp;INDEX(IP_MAIN_END_DATE,MATCH(A81,IP_MAIN_LIST_IP_ID,0))&amp;")"</f>
      </c>
      <c r="G81" s="1123"/>
      <c r="H81" s="1123"/>
      <c r="I81" s="1185"/>
      <c r="J81" s="1185"/>
      <c r="K81" s="1186"/>
      <c r="L81" s="1186"/>
      <c r="M81" s="1186"/>
      <c r="N81" s="1187"/>
      <c r="O81" s="1187"/>
      <c r="P81" s="1187"/>
      <c r="Q81" s="1187"/>
      <c r="R81" s="1187"/>
      <c r="S81" s="1187"/>
      <c r="T81" s="1187"/>
      <c r="U81" s="1187"/>
      <c r="V81" s="1187"/>
      <c r="W81" s="1187"/>
      <c r="X81" s="1187"/>
      <c r="Y81" s="1187"/>
      <c r="Z81" s="1187"/>
      <c r="AA81" s="1187"/>
      <c r="AB81" s="1187"/>
      <c r="AC81" s="1187"/>
      <c r="AD81" s="1187"/>
      <c r="AE81" s="1188"/>
      <c r="AF81" s="1186"/>
      <c r="AG81" s="1186"/>
      <c r="AH81" s="1186"/>
      <c r="AI81" s="1186"/>
      <c r="AJ81" s="1186"/>
      <c r="AK81" s="1186"/>
      <c r="AL81" s="1988"/>
      <c r="AM81" s="1823"/>
      <c r="AN81" s="1823"/>
      <c r="AO81" s="1823"/>
      <c r="AP81" s="1823"/>
      <c r="AQ81" s="1823"/>
      <c r="AR81" s="1823"/>
      <c r="AS81" s="1823"/>
      <c r="AT81" s="1823"/>
      <c r="AU81" s="1823"/>
      <c r="AV81" s="1823"/>
      <c r="AW81" s="1823"/>
      <c r="AX81" s="1823"/>
      <c r="AY81" s="1823"/>
      <c r="AZ81" s="1823"/>
      <c r="BA81" s="1823"/>
      <c r="BB81" s="1823"/>
      <c r="BC81" s="1823"/>
      <c r="BD81" s="1823"/>
      <c r="BE81" s="1823"/>
      <c r="BF81" s="1823"/>
    </row>
    <row s="1635" customFormat="1" customHeight="1" ht="0.75">
      <c r="A82" s="1166"/>
      <c r="B82" s="1166"/>
      <c r="C82" s="1166"/>
      <c r="D82" s="1160"/>
      <c r="E82" s="1170"/>
      <c r="F82" s="2536"/>
      <c r="G82" s="2515"/>
      <c r="H82" s="2540" t="s">
        <v>378</v>
      </c>
      <c r="I82" s="2541"/>
      <c r="J82" s="2542"/>
      <c r="K82" s="2542"/>
      <c r="L82" s="2534"/>
      <c r="M82" s="2268"/>
      <c r="N82" s="2036"/>
      <c r="O82" s="2035"/>
      <c r="P82" s="2036"/>
      <c r="Q82" s="2036"/>
      <c r="R82" s="2036"/>
      <c r="S82" s="2036"/>
      <c r="T82" s="2036"/>
      <c r="U82" s="2036"/>
      <c r="V82" s="2036"/>
      <c r="W82" s="2036"/>
      <c r="X82" s="2036"/>
      <c r="Y82" s="2036"/>
      <c r="Z82" s="2036"/>
      <c r="AA82" s="2036"/>
      <c r="AB82" s="2036"/>
      <c r="AC82" s="2036"/>
      <c r="AD82" s="2036"/>
      <c r="AE82" s="2036"/>
      <c r="AF82" s="2538"/>
      <c r="AG82" s="2534"/>
      <c r="AH82" s="2534"/>
      <c r="AI82" s="2538"/>
      <c r="AJ82" s="2534"/>
      <c r="AK82" s="2534"/>
      <c r="AL82" s="1988"/>
      <c r="AM82" s="1823"/>
      <c r="AN82" s="1823"/>
      <c r="AO82" s="1823"/>
      <c r="AP82" s="1823"/>
      <c r="AQ82" s="1823"/>
      <c r="AR82" s="1823"/>
      <c r="AS82" s="1823"/>
      <c r="AT82" s="1823"/>
      <c r="AU82" s="1823"/>
      <c r="AV82" s="1823"/>
      <c r="AW82" s="1823"/>
      <c r="AX82" s="1823"/>
      <c r="AY82" s="1823"/>
      <c r="AZ82" s="1823"/>
      <c r="BA82" s="1823"/>
      <c r="BB82" s="1823"/>
      <c r="BC82" s="1823"/>
      <c r="BD82" s="1823"/>
      <c r="BE82" s="1823"/>
      <c r="BF82" s="1823"/>
    </row>
    <row s="1635" customFormat="1" customHeight="1" ht="0.75">
      <c r="A83" s="1166"/>
      <c r="B83" s="1166"/>
      <c r="C83" s="1166"/>
      <c r="D83" s="1160"/>
      <c r="E83" s="1170"/>
      <c r="F83" s="2536"/>
      <c r="G83" s="2515"/>
      <c r="H83" s="2540"/>
      <c r="I83" s="2541"/>
      <c r="J83" s="2542"/>
      <c r="K83" s="2542"/>
      <c r="L83" s="2534"/>
      <c r="M83" s="2268"/>
      <c r="N83" s="2543"/>
      <c r="O83" s="2544"/>
      <c r="P83" s="2588"/>
      <c r="Q83" s="2539"/>
      <c r="R83" s="2539"/>
      <c r="S83" s="2539"/>
      <c r="T83" s="2539"/>
      <c r="U83" s="2539"/>
      <c r="V83" s="2539"/>
      <c r="W83" s="2539"/>
      <c r="X83" s="2539"/>
      <c r="Y83" s="2539"/>
      <c r="Z83" s="2037"/>
      <c r="AA83" s="2038"/>
      <c r="AB83" s="2038"/>
      <c r="AC83" s="2039"/>
      <c r="AD83" s="2039"/>
      <c r="AE83" s="2040"/>
      <c r="AF83" s="2538"/>
      <c r="AG83" s="2534"/>
      <c r="AH83" s="2534"/>
      <c r="AI83" s="2538"/>
      <c r="AJ83" s="2534"/>
      <c r="AK83" s="2534"/>
      <c r="AL83" s="1988"/>
      <c r="AM83" s="1823"/>
      <c r="AN83" s="1823"/>
      <c r="AO83" s="1823"/>
      <c r="AP83" s="1823"/>
      <c r="AQ83" s="1823"/>
      <c r="AR83" s="1823"/>
      <c r="AS83" s="1823"/>
      <c r="AT83" s="1823"/>
      <c r="AU83" s="1823"/>
      <c r="AV83" s="1823"/>
      <c r="AW83" s="1823"/>
      <c r="AX83" s="1823"/>
      <c r="AY83" s="1823"/>
      <c r="AZ83" s="1823"/>
      <c r="BA83" s="1823"/>
      <c r="BB83" s="1823"/>
      <c r="BC83" s="1823"/>
      <c r="BD83" s="1823"/>
      <c r="BE83" s="1823"/>
      <c r="BF83" s="1823"/>
    </row>
    <row s="1635" customFormat="1" customHeight="1" ht="0.75">
      <c r="A84" s="1166"/>
      <c r="B84" s="1166"/>
      <c r="C84" s="1166"/>
      <c r="D84" s="1160"/>
      <c r="E84" s="1170"/>
      <c r="F84" s="2536"/>
      <c r="G84" s="2515"/>
      <c r="H84" s="2540"/>
      <c r="I84" s="2541"/>
      <c r="J84" s="2542"/>
      <c r="K84" s="2542"/>
      <c r="L84" s="2534"/>
      <c r="M84" s="2268"/>
      <c r="N84" s="2543"/>
      <c r="O84" s="2544"/>
      <c r="P84" s="2589"/>
      <c r="Q84" s="2539"/>
      <c r="R84" s="2539"/>
      <c r="S84" s="2539"/>
      <c r="T84" s="2539"/>
      <c r="U84" s="2539"/>
      <c r="V84" s="2539"/>
      <c r="W84" s="2539"/>
      <c r="X84" s="2539"/>
      <c r="Y84" s="2539"/>
      <c r="Z84" s="2041"/>
      <c r="AA84" s="2042"/>
      <c r="AB84" s="2043"/>
      <c r="AC84" s="2044"/>
      <c r="AD84" s="2043"/>
      <c r="AE84" s="2044"/>
      <c r="AF84" s="2538"/>
      <c r="AG84" s="2534"/>
      <c r="AH84" s="2534"/>
      <c r="AI84" s="2538"/>
      <c r="AJ84" s="2534"/>
      <c r="AK84" s="2534"/>
      <c r="AL84" s="1988"/>
      <c r="AM84" s="1823"/>
      <c r="AN84" s="1823"/>
      <c r="AO84" s="1823"/>
      <c r="AP84" s="1823"/>
      <c r="AQ84" s="1823"/>
      <c r="AR84" s="1823"/>
      <c r="AS84" s="1823"/>
      <c r="AT84" s="1823"/>
      <c r="AU84" s="1823"/>
      <c r="AV84" s="1823"/>
      <c r="AW84" s="1823"/>
      <c r="AX84" s="1823"/>
      <c r="AY84" s="1823"/>
      <c r="AZ84" s="1823"/>
      <c r="BA84" s="1823"/>
      <c r="BB84" s="1823"/>
      <c r="BC84" s="1823"/>
      <c r="BD84" s="1823"/>
      <c r="BE84" s="1823"/>
      <c r="BF84" s="1823"/>
    </row>
    <row s="1635" customFormat="1" customHeight="1" ht="0.75">
      <c r="A85" s="1166"/>
      <c r="B85" s="1166"/>
      <c r="C85" s="1166"/>
      <c r="D85" s="1160"/>
      <c r="E85" s="1170"/>
      <c r="F85" s="2536"/>
      <c r="G85" s="2515"/>
      <c r="H85" s="2540"/>
      <c r="I85" s="2541"/>
      <c r="J85" s="2542"/>
      <c r="K85" s="2542"/>
      <c r="L85" s="2534"/>
      <c r="M85" s="2268"/>
      <c r="N85" s="2543"/>
      <c r="O85" s="2544"/>
      <c r="P85" s="2590"/>
      <c r="Q85" s="2539"/>
      <c r="R85" s="2539"/>
      <c r="S85" s="2539"/>
      <c r="T85" s="2539"/>
      <c r="U85" s="2539"/>
      <c r="V85" s="2539"/>
      <c r="W85" s="2539"/>
      <c r="X85" s="2539"/>
      <c r="Y85" s="2539"/>
      <c r="Z85" s="2037"/>
      <c r="AA85" s="2038"/>
      <c r="AB85" s="2045"/>
      <c r="AC85" s="2039"/>
      <c r="AD85" s="2039"/>
      <c r="AE85" s="2046"/>
      <c r="AF85" s="2538"/>
      <c r="AG85" s="2534"/>
      <c r="AH85" s="2534"/>
      <c r="AI85" s="2538"/>
      <c r="AJ85" s="2534"/>
      <c r="AK85" s="2534"/>
      <c r="AL85" s="1988"/>
      <c r="AM85" s="1823"/>
      <c r="AN85" s="1823"/>
      <c r="AO85" s="1823"/>
      <c r="AP85" s="1823"/>
      <c r="AQ85" s="1823"/>
      <c r="AR85" s="1823"/>
      <c r="AS85" s="1823"/>
      <c r="AT85" s="1823"/>
      <c r="AU85" s="1823"/>
      <c r="AV85" s="1823"/>
      <c r="AW85" s="1823"/>
      <c r="AX85" s="1823"/>
      <c r="AY85" s="1823"/>
      <c r="AZ85" s="1823"/>
      <c r="BA85" s="1823"/>
      <c r="BB85" s="1823"/>
      <c r="BC85" s="1823"/>
      <c r="BD85" s="1823"/>
      <c r="BE85" s="1823"/>
      <c r="BF85" s="1823"/>
    </row>
    <row s="1635" customFormat="1" customHeight="1" ht="0.75">
      <c r="A86" s="1166"/>
      <c r="B86" s="1166"/>
      <c r="C86" s="1166"/>
      <c r="D86" s="1160"/>
      <c r="E86" s="1170"/>
      <c r="F86" s="2536"/>
      <c r="G86" s="2515"/>
      <c r="H86" s="2540"/>
      <c r="I86" s="2541"/>
      <c r="J86" s="2542"/>
      <c r="K86" s="2542"/>
      <c r="L86" s="2534"/>
      <c r="M86" s="2268"/>
      <c r="N86" s="2038"/>
      <c r="O86" s="2038"/>
      <c r="P86" s="2045"/>
      <c r="Q86" s="2038"/>
      <c r="R86" s="2038"/>
      <c r="S86" s="2038"/>
      <c r="T86" s="2038"/>
      <c r="U86" s="2038"/>
      <c r="V86" s="2038"/>
      <c r="W86" s="2038"/>
      <c r="X86" s="2038"/>
      <c r="Y86" s="2038"/>
      <c r="Z86" s="2038"/>
      <c r="AA86" s="2038"/>
      <c r="AB86" s="2038"/>
      <c r="AC86" s="2038"/>
      <c r="AD86" s="2038"/>
      <c r="AE86" s="2047"/>
      <c r="AF86" s="2538"/>
      <c r="AG86" s="2534"/>
      <c r="AH86" s="2534"/>
      <c r="AI86" s="2538"/>
      <c r="AJ86" s="2534"/>
      <c r="AK86" s="2534"/>
      <c r="AL86" s="1988"/>
      <c r="AM86" s="1823"/>
      <c r="AN86" s="1823"/>
      <c r="AO86" s="1823"/>
      <c r="AP86" s="1823"/>
      <c r="AQ86" s="1823"/>
      <c r="AR86" s="1823"/>
      <c r="AS86" s="1823"/>
      <c r="AT86" s="1823"/>
      <c r="AU86" s="1823"/>
      <c r="AV86" s="1823"/>
      <c r="AW86" s="1823"/>
      <c r="AX86" s="1823"/>
      <c r="AY86" s="1823"/>
      <c r="AZ86" s="1823"/>
      <c r="BA86" s="1823"/>
      <c r="BB86" s="1823"/>
      <c r="BC86" s="1823"/>
      <c r="BD86" s="1823"/>
      <c r="BE86" s="1823"/>
      <c r="BF86" s="1823"/>
    </row>
    <row s="1635" customFormat="1" customHeight="1" ht="12">
      <c r="A87" s="1166"/>
      <c r="B87" s="1166"/>
      <c r="C87" s="1166"/>
      <c r="D87" s="1160"/>
      <c r="E87" s="1170"/>
      <c r="F87" s="2537"/>
      <c r="G87" s="1190"/>
      <c r="H87" s="1190"/>
      <c r="I87" s="2535" t="s">
        <v>1923</v>
      </c>
      <c r="J87" s="2535"/>
      <c r="K87" s="2535"/>
      <c r="L87" s="1173"/>
      <c r="M87" s="1173"/>
      <c r="N87" s="1174"/>
      <c r="O87" s="1174"/>
      <c r="P87" s="1174"/>
      <c r="Q87" s="1174"/>
      <c r="R87" s="1174"/>
      <c r="S87" s="1174"/>
      <c r="T87" s="1174"/>
      <c r="U87" s="1174"/>
      <c r="V87" s="1174"/>
      <c r="W87" s="1174"/>
      <c r="X87" s="1174"/>
      <c r="Y87" s="1174"/>
      <c r="Z87" s="1174"/>
      <c r="AA87" s="1174"/>
      <c r="AB87" s="1174"/>
      <c r="AC87" s="1174"/>
      <c r="AD87" s="1174"/>
      <c r="AE87" s="1174"/>
      <c r="AF87" s="1174"/>
      <c r="AG87" s="1173"/>
      <c r="AH87" s="1173"/>
      <c r="AI87" s="1174"/>
      <c r="AJ87" s="1173"/>
      <c r="AK87" s="1174"/>
      <c r="AL87" s="1988"/>
      <c r="AM87" s="1823"/>
      <c r="AN87" s="1823"/>
      <c r="AO87" s="1823"/>
      <c r="AP87" s="1823"/>
      <c r="AQ87" s="1823"/>
      <c r="AR87" s="1823"/>
      <c r="AS87" s="1823"/>
      <c r="AT87" s="1823"/>
      <c r="AU87" s="1823"/>
      <c r="AV87" s="1823"/>
      <c r="AW87" s="1823"/>
      <c r="AX87" s="1823"/>
      <c r="AY87" s="1823"/>
      <c r="AZ87" s="1823"/>
      <c r="BA87" s="1823"/>
      <c r="BB87" s="1823"/>
      <c r="BC87" s="1823"/>
      <c r="BD87" s="1823"/>
      <c r="BE87" s="1823"/>
      <c r="BF87" s="1823"/>
    </row>
    <row r="89" s="1815" customFormat="1" customHeight="1" ht="11.25">
      <c r="A89" s="1815" t="s">
        <v>1924</v>
      </c>
    </row>
    <row r="91" s="1635" customFormat="1" customHeight="1" ht="11.25">
      <c r="A91" s="1166"/>
      <c r="B91" s="1166"/>
      <c r="C91" s="1166"/>
      <c r="D91" s="1160"/>
      <c r="E91" s="1170"/>
      <c r="F91" s="1829"/>
      <c r="G91" s="1830"/>
      <c r="H91" s="1830"/>
      <c r="I91" s="1764"/>
      <c r="J91" s="1764"/>
      <c r="K91" s="1831"/>
      <c r="L91" s="1764"/>
      <c r="M91" s="1830"/>
      <c r="N91" s="2508"/>
      <c r="O91" s="2591">
        <v>1</v>
      </c>
      <c r="P91" s="2510" t="s">
        <v>19</v>
      </c>
      <c r="Q91" s="2513" t="s">
        <v>22</v>
      </c>
      <c r="R91" s="2513" t="s">
        <v>22</v>
      </c>
      <c r="S91" s="2513" t="s">
        <v>22</v>
      </c>
      <c r="T91" s="2513" t="s">
        <v>22</v>
      </c>
      <c r="U91" s="2513" t="s">
        <v>22</v>
      </c>
      <c r="V91" s="2513" t="s">
        <v>22</v>
      </c>
      <c r="W91" s="2513" t="s">
        <v>22</v>
      </c>
      <c r="X91" s="2513" t="s">
        <v>22</v>
      </c>
      <c r="Y91" s="2513"/>
      <c r="Z91" s="1175"/>
      <c r="AA91" s="1176"/>
      <c r="AB91" s="1176"/>
      <c r="AC91" s="1180"/>
      <c r="AD91" s="1180"/>
      <c r="AE91" s="1180"/>
      <c r="AF91" s="1832"/>
      <c r="AG91" s="1759"/>
      <c r="AH91" s="1759"/>
      <c r="AI91" s="1832"/>
      <c r="AJ91" s="1759"/>
      <c r="AK91" s="1987"/>
      <c r="AL91" s="1988"/>
      <c r="AM91" s="1823"/>
      <c r="AN91" s="1823"/>
      <c r="AO91" s="1823"/>
      <c r="AP91" s="1823"/>
      <c r="AQ91" s="1823"/>
      <c r="AR91" s="1823"/>
      <c r="AS91" s="1823"/>
      <c r="AT91" s="1823"/>
      <c r="AU91" s="1823"/>
      <c r="AV91" s="1823"/>
      <c r="AW91" s="1823"/>
      <c r="AX91" s="1823"/>
      <c r="AY91" s="1823"/>
      <c r="AZ91" s="1823"/>
      <c r="BA91" s="1823"/>
      <c r="BB91" s="1823"/>
      <c r="BC91" s="1823"/>
      <c r="BD91" s="1823"/>
      <c r="BE91" s="1823"/>
      <c r="BF91" s="1823"/>
    </row>
    <row s="1635" customFormat="1" customHeight="1" ht="11.25">
      <c r="A92" s="1166"/>
      <c r="B92" s="1166"/>
      <c r="C92" s="1166"/>
      <c r="D92" s="1160"/>
      <c r="E92" s="1170"/>
      <c r="F92" s="1829"/>
      <c r="G92" s="1830"/>
      <c r="H92" s="1830"/>
      <c r="I92" s="1765"/>
      <c r="J92" s="1765"/>
      <c r="K92" s="1831"/>
      <c r="L92" s="1765"/>
      <c r="M92" s="1830"/>
      <c r="N92" s="2508"/>
      <c r="O92" s="2591"/>
      <c r="P92" s="2511"/>
      <c r="Q92" s="2513"/>
      <c r="R92" s="2513"/>
      <c r="S92" s="2514"/>
      <c r="T92" s="2513"/>
      <c r="U92" s="2513"/>
      <c r="V92" s="2513"/>
      <c r="W92" s="2513"/>
      <c r="X92" s="2513"/>
      <c r="Y92" s="2513"/>
      <c r="Z92" s="1828"/>
      <c r="AA92" s="1794">
        <v>1</v>
      </c>
      <c r="AB92" s="1179"/>
      <c r="AC92" s="1169"/>
      <c r="AD92" s="1179">
        <f>AB92</f>
        <v>0</v>
      </c>
      <c r="AE92" s="724"/>
      <c r="AF92" s="1831"/>
      <c r="AG92" s="1759"/>
      <c r="AH92" s="1759"/>
      <c r="AI92" s="1831"/>
      <c r="AJ92" s="1759"/>
      <c r="AK92" s="1987"/>
      <c r="AL92" s="1988"/>
      <c r="AM92" s="1823"/>
      <c r="AN92" s="1823"/>
      <c r="AO92" s="1823"/>
      <c r="AP92" s="1823"/>
      <c r="AQ92" s="1823"/>
      <c r="AR92" s="1823"/>
      <c r="AS92" s="1823"/>
      <c r="AT92" s="1823"/>
      <c r="AU92" s="1823"/>
      <c r="AV92" s="1823"/>
      <c r="AW92" s="1823"/>
      <c r="AX92" s="1823"/>
      <c r="AY92" s="1823"/>
      <c r="AZ92" s="1823"/>
      <c r="BA92" s="1823"/>
      <c r="BB92" s="1823"/>
      <c r="BC92" s="1823"/>
      <c r="BD92" s="1823"/>
      <c r="BE92" s="1823"/>
      <c r="BF92" s="1823"/>
    </row>
    <row s="1635" customFormat="1" customHeight="1" ht="11.25">
      <c r="A93" s="1166"/>
      <c r="B93" s="1166"/>
      <c r="C93" s="1166"/>
      <c r="D93" s="1160"/>
      <c r="E93" s="1170"/>
      <c r="F93" s="1829"/>
      <c r="G93" s="1830"/>
      <c r="H93" s="1830"/>
      <c r="I93" s="1766"/>
      <c r="J93" s="1766"/>
      <c r="K93" s="1831"/>
      <c r="L93" s="1766"/>
      <c r="M93" s="1830"/>
      <c r="N93" s="2508"/>
      <c r="O93" s="2591"/>
      <c r="P93" s="2512"/>
      <c r="Q93" s="2513"/>
      <c r="R93" s="2513"/>
      <c r="S93" s="2514"/>
      <c r="T93" s="2513"/>
      <c r="U93" s="2513"/>
      <c r="V93" s="2513"/>
      <c r="W93" s="2513"/>
      <c r="X93" s="2513"/>
      <c r="Y93" s="2513"/>
      <c r="Z93" s="1175"/>
      <c r="AA93" s="1176"/>
      <c r="AB93" s="1241" t="s">
        <v>1925</v>
      </c>
      <c r="AC93" s="1180"/>
      <c r="AD93" s="1180"/>
      <c r="AE93" s="1180"/>
      <c r="AF93" s="1833"/>
      <c r="AG93" s="1759"/>
      <c r="AH93" s="1759"/>
      <c r="AI93" s="1833"/>
      <c r="AJ93" s="1759"/>
      <c r="AK93" s="1987"/>
      <c r="AL93" s="1988"/>
      <c r="AM93" s="1823"/>
      <c r="AN93" s="1823"/>
      <c r="AO93" s="1823"/>
      <c r="AP93" s="1823"/>
      <c r="AQ93" s="1823"/>
      <c r="AR93" s="1823"/>
      <c r="AS93" s="1823"/>
      <c r="AT93" s="1823"/>
      <c r="AU93" s="1823"/>
      <c r="AV93" s="1823"/>
      <c r="AW93" s="1823"/>
      <c r="AX93" s="1823"/>
      <c r="AY93" s="1823"/>
      <c r="AZ93" s="1823"/>
      <c r="BA93" s="1823"/>
      <c r="BB93" s="1823"/>
      <c r="BC93" s="1823"/>
      <c r="BD93" s="1823"/>
      <c r="BE93" s="1823"/>
      <c r="BF93" s="1823"/>
    </row>
    <row r="95" s="1815" customFormat="1" customHeight="1" ht="11.25">
      <c r="A95" s="1815" t="s">
        <v>1926</v>
      </c>
    </row>
    <row r="97" s="1635" customFormat="1" customHeight="1" ht="11.25">
      <c r="A97" s="1166"/>
      <c r="B97" s="1166"/>
      <c r="C97" s="1166"/>
      <c r="D97" s="1160"/>
      <c r="E97" s="1170"/>
      <c r="F97" s="1830"/>
      <c r="G97" s="1830"/>
      <c r="H97" s="1830"/>
      <c r="I97" s="1830"/>
      <c r="J97" s="1830"/>
      <c r="K97" s="1830"/>
      <c r="L97" s="1830"/>
      <c r="M97" s="1830"/>
      <c r="N97" s="1830"/>
      <c r="O97" s="1830"/>
      <c r="P97" s="1830"/>
      <c r="Q97" s="1830"/>
      <c r="R97" s="1830"/>
      <c r="S97" s="1830"/>
      <c r="T97" s="1830"/>
      <c r="U97" s="1830"/>
      <c r="V97" s="1830"/>
      <c r="W97" s="1830"/>
      <c r="X97" s="1830"/>
      <c r="Y97" s="1830"/>
      <c r="Z97" s="1834"/>
      <c r="AA97" s="1814">
        <v>1</v>
      </c>
      <c r="AB97" s="1179"/>
      <c r="AC97" s="1169"/>
      <c r="AD97" s="1179">
        <f>AB97</f>
        <v>0</v>
      </c>
      <c r="AE97" s="1169"/>
      <c r="AF97" s="1831"/>
      <c r="AG97" s="1759"/>
      <c r="AH97" s="1759"/>
      <c r="AI97" s="1831"/>
      <c r="AJ97" s="1759"/>
      <c r="AK97" s="1987"/>
      <c r="AL97" s="1988"/>
      <c r="AM97" s="1823"/>
      <c r="AN97" s="1823"/>
      <c r="AO97" s="1823"/>
      <c r="AP97" s="1823"/>
      <c r="AQ97" s="1823"/>
      <c r="AR97" s="1823"/>
      <c r="AS97" s="1823"/>
      <c r="AT97" s="1823"/>
      <c r="AU97" s="1823"/>
      <c r="AV97" s="1823"/>
      <c r="AW97" s="1823"/>
      <c r="AX97" s="1823"/>
      <c r="AY97" s="1823"/>
      <c r="AZ97" s="1823"/>
      <c r="BA97" s="1823"/>
      <c r="BB97" s="1823"/>
      <c r="BC97" s="1823"/>
      <c r="BD97" s="1823"/>
      <c r="BE97" s="1823"/>
      <c r="BF97" s="1823"/>
    </row>
    <row r="99" s="1815" customFormat="1" customHeight="1" ht="11.25">
      <c r="A99" s="1815" t="s">
        <v>1927</v>
      </c>
    </row>
    <row r="101" s="1635" customFormat="1" customHeight="1" ht="11.25">
      <c r="A101" s="1166"/>
      <c r="B101" s="1166"/>
      <c r="C101" s="1166"/>
      <c r="D101" s="1160"/>
      <c r="E101" s="1170"/>
      <c r="F101" s="1829"/>
      <c r="G101" s="1830"/>
      <c r="H101" s="2515" t="s">
        <v>109</v>
      </c>
      <c r="I101" s="2516"/>
      <c r="J101" s="2485"/>
      <c r="K101" s="2517"/>
      <c r="L101" s="2107" t="s">
        <v>19</v>
      </c>
      <c r="M101" s="2108"/>
      <c r="N101" s="1986"/>
      <c r="O101" s="1177" t="s">
        <v>378</v>
      </c>
      <c r="P101" s="1178"/>
      <c r="Q101" s="1178"/>
      <c r="R101" s="1178"/>
      <c r="S101" s="1178"/>
      <c r="T101" s="1178"/>
      <c r="U101" s="1178"/>
      <c r="V101" s="1178"/>
      <c r="W101" s="1178"/>
      <c r="X101" s="1178"/>
      <c r="Y101" s="1178"/>
      <c r="Z101" s="1178"/>
      <c r="AA101" s="1178"/>
      <c r="AB101" s="1178"/>
      <c r="AC101" s="1178"/>
      <c r="AD101" s="1178"/>
      <c r="AE101" s="1178"/>
      <c r="AF101" s="2506"/>
      <c r="AG101" s="2507"/>
      <c r="AH101" s="2507"/>
      <c r="AI101" s="2506"/>
      <c r="AJ101" s="2507"/>
      <c r="AK101" s="2507"/>
      <c r="AL101" s="1988"/>
      <c r="AM101" s="1823"/>
      <c r="AN101" s="1823"/>
      <c r="AO101" s="1823"/>
      <c r="AP101" s="1823"/>
      <c r="AQ101" s="1823"/>
      <c r="AR101" s="1823"/>
      <c r="AS101" s="1823"/>
      <c r="AT101" s="1823"/>
      <c r="AU101" s="1823"/>
      <c r="AV101" s="1823"/>
      <c r="AW101" s="1823"/>
      <c r="AX101" s="1823"/>
      <c r="AY101" s="1823"/>
      <c r="AZ101" s="1823"/>
      <c r="BA101" s="1823"/>
      <c r="BB101" s="1823"/>
      <c r="BC101" s="1823"/>
      <c r="BD101" s="1823"/>
      <c r="BE101" s="1823"/>
      <c r="BF101" s="1823"/>
    </row>
    <row s="1635" customFormat="1" customHeight="1" ht="11.25">
      <c r="A102" s="1166"/>
      <c r="B102" s="1166"/>
      <c r="C102" s="1166"/>
      <c r="D102" s="1160"/>
      <c r="E102" s="1170"/>
      <c r="F102" s="1829"/>
      <c r="G102" s="1830"/>
      <c r="H102" s="2515"/>
      <c r="I102" s="2516"/>
      <c r="J102" s="2485"/>
      <c r="K102" s="2517"/>
      <c r="L102" s="2107"/>
      <c r="M102" s="2108"/>
      <c r="N102" s="2508"/>
      <c r="O102" s="2509">
        <v>1</v>
      </c>
      <c r="P102" s="2510" t="s">
        <v>19</v>
      </c>
      <c r="Q102" s="2513" t="s">
        <v>22</v>
      </c>
      <c r="R102" s="2513" t="s">
        <v>22</v>
      </c>
      <c r="S102" s="2513" t="s">
        <v>22</v>
      </c>
      <c r="T102" s="2513" t="s">
        <v>22</v>
      </c>
      <c r="U102" s="2513" t="s">
        <v>22</v>
      </c>
      <c r="V102" s="2513" t="s">
        <v>22</v>
      </c>
      <c r="W102" s="2513" t="s">
        <v>22</v>
      </c>
      <c r="X102" s="2513" t="s">
        <v>22</v>
      </c>
      <c r="Y102" s="2513"/>
      <c r="Z102" s="1175"/>
      <c r="AA102" s="1176"/>
      <c r="AB102" s="1176"/>
      <c r="AC102" s="1180"/>
      <c r="AD102" s="1180"/>
      <c r="AE102" s="1181"/>
      <c r="AF102" s="2506"/>
      <c r="AG102" s="2507"/>
      <c r="AH102" s="2507"/>
      <c r="AI102" s="2506"/>
      <c r="AJ102" s="2507"/>
      <c r="AK102" s="2507"/>
      <c r="AL102" s="1988"/>
      <c r="AM102" s="1823"/>
      <c r="AN102" s="1823"/>
      <c r="AO102" s="1823"/>
      <c r="AP102" s="1823"/>
      <c r="AQ102" s="1823"/>
      <c r="AR102" s="1823"/>
      <c r="AS102" s="1823"/>
      <c r="AT102" s="1823"/>
      <c r="AU102" s="1823"/>
      <c r="AV102" s="1823"/>
      <c r="AW102" s="1823"/>
      <c r="AX102" s="1823"/>
      <c r="AY102" s="1823"/>
      <c r="AZ102" s="1823"/>
      <c r="BA102" s="1823"/>
      <c r="BB102" s="1823"/>
      <c r="BC102" s="1823"/>
      <c r="BD102" s="1823"/>
      <c r="BE102" s="1823"/>
      <c r="BF102" s="1823"/>
    </row>
    <row s="1635" customFormat="1" customHeight="1" ht="11.25">
      <c r="A103" s="1166"/>
      <c r="B103" s="1166"/>
      <c r="C103" s="1166"/>
      <c r="D103" s="1160"/>
      <c r="E103" s="1170"/>
      <c r="F103" s="1829"/>
      <c r="G103" s="1830"/>
      <c r="H103" s="2515"/>
      <c r="I103" s="2516"/>
      <c r="J103" s="2485"/>
      <c r="K103" s="2517"/>
      <c r="L103" s="2107"/>
      <c r="M103" s="2108"/>
      <c r="N103" s="2508"/>
      <c r="O103" s="2509"/>
      <c r="P103" s="2511"/>
      <c r="Q103" s="2513"/>
      <c r="R103" s="2513"/>
      <c r="S103" s="2514"/>
      <c r="T103" s="2513"/>
      <c r="U103" s="2513"/>
      <c r="V103" s="2513"/>
      <c r="W103" s="2513"/>
      <c r="X103" s="2513"/>
      <c r="Y103" s="2513"/>
      <c r="Z103" s="1828"/>
      <c r="AA103" s="1794">
        <v>1</v>
      </c>
      <c r="AB103" s="1179"/>
      <c r="AC103" s="1169"/>
      <c r="AD103" s="1179">
        <f>AB103</f>
        <v>0</v>
      </c>
      <c r="AE103" s="1169"/>
      <c r="AF103" s="2506"/>
      <c r="AG103" s="2507"/>
      <c r="AH103" s="2507"/>
      <c r="AI103" s="2506"/>
      <c r="AJ103" s="2507"/>
      <c r="AK103" s="2507"/>
      <c r="AL103" s="1988"/>
      <c r="AM103" s="1823"/>
      <c r="AN103" s="1823"/>
      <c r="AO103" s="1823"/>
      <c r="AP103" s="1823"/>
      <c r="AQ103" s="1823"/>
      <c r="AR103" s="1823"/>
      <c r="AS103" s="1823"/>
      <c r="AT103" s="1823"/>
      <c r="AU103" s="1823"/>
      <c r="AV103" s="1823"/>
      <c r="AW103" s="1823"/>
      <c r="AX103" s="1823"/>
      <c r="AY103" s="1823"/>
      <c r="AZ103" s="1823"/>
      <c r="BA103" s="1823"/>
      <c r="BB103" s="1823"/>
      <c r="BC103" s="1823"/>
      <c r="BD103" s="1823"/>
      <c r="BE103" s="1823"/>
      <c r="BF103" s="1823"/>
    </row>
    <row s="1635" customFormat="1" customHeight="1" ht="11.25">
      <c r="A104" s="1166"/>
      <c r="B104" s="1166"/>
      <c r="C104" s="1166"/>
      <c r="D104" s="1160"/>
      <c r="E104" s="1170"/>
      <c r="F104" s="1829"/>
      <c r="G104" s="1830"/>
      <c r="H104" s="2515"/>
      <c r="I104" s="2516"/>
      <c r="J104" s="2485"/>
      <c r="K104" s="2517"/>
      <c r="L104" s="2107"/>
      <c r="M104" s="2108"/>
      <c r="N104" s="2508"/>
      <c r="O104" s="2509"/>
      <c r="P104" s="2512"/>
      <c r="Q104" s="2513"/>
      <c r="R104" s="2513"/>
      <c r="S104" s="2514"/>
      <c r="T104" s="2513"/>
      <c r="U104" s="2513"/>
      <c r="V104" s="2513"/>
      <c r="W104" s="2513"/>
      <c r="X104" s="2513"/>
      <c r="Y104" s="2513"/>
      <c r="Z104" s="1175"/>
      <c r="AA104" s="1176"/>
      <c r="AB104" s="1241" t="s">
        <v>1925</v>
      </c>
      <c r="AC104" s="1180"/>
      <c r="AD104" s="1180"/>
      <c r="AE104" s="1182"/>
      <c r="AF104" s="2506"/>
      <c r="AG104" s="2507"/>
      <c r="AH104" s="2507"/>
      <c r="AI104" s="2506"/>
      <c r="AJ104" s="2507"/>
      <c r="AK104" s="2507"/>
      <c r="AL104" s="1988"/>
      <c r="AM104" s="1823"/>
      <c r="AN104" s="1823"/>
      <c r="AO104" s="1823"/>
      <c r="AP104" s="1823"/>
      <c r="AQ104" s="1823"/>
      <c r="AR104" s="1823"/>
      <c r="AS104" s="1823"/>
      <c r="AT104" s="1823"/>
      <c r="AU104" s="1823"/>
      <c r="AV104" s="1823"/>
      <c r="AW104" s="1823"/>
      <c r="AX104" s="1823"/>
      <c r="AY104" s="1823"/>
      <c r="AZ104" s="1823"/>
      <c r="BA104" s="1823"/>
      <c r="BB104" s="1823"/>
      <c r="BC104" s="1823"/>
      <c r="BD104" s="1823"/>
      <c r="BE104" s="1823"/>
      <c r="BF104" s="1823"/>
    </row>
    <row s="1635" customFormat="1" customHeight="1" ht="11.25">
      <c r="A105" s="1166"/>
      <c r="B105" s="1166"/>
      <c r="C105" s="1166"/>
      <c r="D105" s="1160"/>
      <c r="E105" s="1170"/>
      <c r="F105" s="1829"/>
      <c r="G105" s="1830"/>
      <c r="H105" s="2515"/>
      <c r="I105" s="2516"/>
      <c r="J105" s="2485"/>
      <c r="K105" s="2517"/>
      <c r="L105" s="2107"/>
      <c r="M105" s="2108"/>
      <c r="N105" s="1175"/>
      <c r="O105" s="1176"/>
      <c r="P105" s="1168" t="s">
        <v>1928</v>
      </c>
      <c r="Q105" s="1176"/>
      <c r="R105" s="1176"/>
      <c r="S105" s="1176"/>
      <c r="T105" s="1176"/>
      <c r="U105" s="1176"/>
      <c r="V105" s="1176"/>
      <c r="W105" s="1176"/>
      <c r="X105" s="1176"/>
      <c r="Y105" s="1176"/>
      <c r="Z105" s="1176"/>
      <c r="AA105" s="1176"/>
      <c r="AB105" s="1176"/>
      <c r="AC105" s="1176"/>
      <c r="AD105" s="1176"/>
      <c r="AE105" s="1183"/>
      <c r="AF105" s="2506"/>
      <c r="AG105" s="2507"/>
      <c r="AH105" s="2507"/>
      <c r="AI105" s="2506"/>
      <c r="AJ105" s="2507"/>
      <c r="AK105" s="2507"/>
      <c r="AL105" s="1988"/>
      <c r="AM105" s="1823"/>
      <c r="AN105" s="1823"/>
      <c r="AO105" s="1823"/>
      <c r="AP105" s="1823"/>
      <c r="AQ105" s="1823"/>
      <c r="AR105" s="1823"/>
      <c r="AS105" s="1823"/>
      <c r="AT105" s="1823"/>
      <c r="AU105" s="1823"/>
      <c r="AV105" s="1823"/>
      <c r="AW105" s="1823"/>
      <c r="AX105" s="1823"/>
      <c r="AY105" s="1823"/>
      <c r="AZ105" s="1823"/>
      <c r="BA105" s="1823"/>
      <c r="BB105" s="1823"/>
      <c r="BC105" s="1823"/>
      <c r="BD105" s="1823"/>
      <c r="BE105" s="1823"/>
      <c r="BF105" s="1823"/>
    </row>
    <row r="107" s="1815" customFormat="1" customHeight="1" ht="11.25">
      <c r="A107" s="1815" t="s">
        <v>1929</v>
      </c>
    </row>
    <row customHeight="1" ht="17.25"/>
    <row s="925" customFormat="1" customHeight="1" ht="21">
      <c r="A109" s="1167"/>
      <c r="B109" s="940"/>
      <c r="D109" s="924"/>
      <c r="E109" s="939" t="s">
        <v>22</v>
      </c>
      <c r="F109" s="1121">
        <f>INDEX(IP_MAIN_LIST_NAME_IP,MATCH(A109,IP_MAIN_LIST_IP_ID,0))&amp;" ("&amp;INDEX(IP_MAIN_START_DATE,MATCH(A109,IP_MAIN_LIST_IP_ID,0))&amp;"-"&amp;INDEX(IP_MAIN_END_DATE,MATCH(A109,IP_MAIN_LIST_IP_ID,0))&amp;")"</f>
      </c>
      <c r="G109" s="1203"/>
      <c r="H109" s="1204"/>
      <c r="I109" s="1204"/>
      <c r="J109" s="1204"/>
      <c r="K109" s="1204"/>
      <c r="L109" s="1204"/>
      <c r="M109" s="1204"/>
      <c r="N109" s="1204"/>
      <c r="O109" s="1203"/>
      <c r="P109" s="1203"/>
      <c r="Q109" s="1203"/>
      <c r="R109" s="1203"/>
      <c r="S109" s="1203"/>
      <c r="T109" s="1203"/>
      <c r="U109" s="1205"/>
      <c r="V109" s="1205"/>
      <c r="W109" s="1205"/>
      <c r="X109" s="1205"/>
      <c r="Y109" s="1205"/>
      <c r="Z109" s="1205"/>
      <c r="AA109" s="1205"/>
      <c r="AB109" s="1203"/>
      <c r="AC109" s="1204"/>
      <c r="AD109" s="1204"/>
      <c r="AE109" s="1204"/>
      <c r="AF109" s="1204"/>
      <c r="AG109" s="1204"/>
      <c r="AH109" s="1204"/>
      <c r="AI109" s="1204"/>
      <c r="AJ109" s="1204"/>
      <c r="AK109" s="1204"/>
      <c r="AL109" s="1204"/>
      <c r="AM109" s="1204"/>
      <c r="AN109" s="1204"/>
      <c r="AO109" s="1204"/>
      <c r="AP109" s="1204"/>
      <c r="AQ109" s="1204"/>
      <c r="AR109" s="1204"/>
      <c r="AS109" s="1204"/>
      <c r="AT109" s="1204"/>
      <c r="AU109" s="1204"/>
      <c r="AV109" s="1204"/>
      <c r="AW109" s="1204"/>
      <c r="AX109" s="1204"/>
      <c r="AY109" s="1204"/>
      <c r="AZ109" s="1204"/>
      <c r="BA109" s="1204"/>
      <c r="BB109" s="1204"/>
      <c r="BC109" s="1204"/>
      <c r="BD109" s="1204"/>
      <c r="BE109" s="1204"/>
      <c r="BF109" s="1204"/>
      <c r="BG109" s="1204"/>
      <c r="BH109" s="1204"/>
      <c r="BI109" s="1204"/>
      <c r="BJ109" s="1204"/>
      <c r="BK109" s="1204"/>
      <c r="BL109" s="1204"/>
      <c r="BM109" s="1204"/>
      <c r="BN109" s="1204"/>
      <c r="BO109" s="1204"/>
      <c r="BP109" s="1204"/>
      <c r="BQ109" s="1204"/>
      <c r="BR109" s="1204"/>
      <c r="BS109" s="1204"/>
      <c r="BT109" s="1204"/>
      <c r="BU109" s="1204"/>
      <c r="BV109" s="1204"/>
      <c r="BW109" s="1204"/>
      <c r="BX109" s="1204"/>
      <c r="BY109" s="1204"/>
      <c r="BZ109" s="1204"/>
      <c r="CA109" s="1204"/>
      <c r="CB109" s="1204"/>
      <c r="CC109" s="1204"/>
      <c r="CD109" s="1204"/>
      <c r="CE109" s="1204"/>
      <c r="CF109" s="1204"/>
      <c r="CG109" s="1204"/>
      <c r="CH109" s="1204"/>
      <c r="CI109" s="1204"/>
      <c r="CJ109" s="1204"/>
      <c r="CK109" s="1204"/>
      <c r="CL109" s="1206"/>
      <c r="CM109" s="1206"/>
      <c r="CN109" s="1206"/>
      <c r="CO109" s="1206"/>
      <c r="CP109" s="1206"/>
      <c r="CQ109" s="1206"/>
      <c r="CR109" s="1206"/>
      <c r="CS109" s="1206"/>
      <c r="CT109" s="1206"/>
      <c r="CU109" s="1206"/>
      <c r="CV109" s="1206"/>
      <c r="CW109" s="1206"/>
      <c r="CX109" s="1206"/>
      <c r="CY109" s="1206"/>
      <c r="CZ109" s="1206"/>
      <c r="DA109" s="1206"/>
      <c r="DB109" s="1206"/>
      <c r="DC109" s="1206"/>
      <c r="DD109" s="1206"/>
      <c r="DE109" s="1206"/>
      <c r="DF109" s="1206"/>
      <c r="DG109" s="1206"/>
      <c r="DH109" s="1206"/>
      <c r="DI109" s="1206"/>
      <c r="DJ109" s="1206"/>
      <c r="DK109" s="1206"/>
      <c r="DL109" s="1206"/>
      <c r="DM109" s="1206"/>
      <c r="DN109" s="1206"/>
      <c r="DO109" s="1206"/>
      <c r="DP109" s="1206"/>
      <c r="DQ109" s="1206"/>
      <c r="DR109" s="1206"/>
      <c r="DS109" s="1206"/>
      <c r="DT109" s="1206"/>
      <c r="DU109" s="1206"/>
      <c r="DV109" s="1206"/>
      <c r="DW109" s="1206"/>
      <c r="DX109" s="1206"/>
      <c r="DY109" s="1206"/>
      <c r="DZ109" s="1206"/>
      <c r="EA109" s="1206"/>
      <c r="EB109" s="1206"/>
      <c r="EC109" s="1206"/>
      <c r="ED109" s="1206"/>
      <c r="EE109" s="1206"/>
      <c r="EF109" s="1206"/>
      <c r="EG109" s="1206"/>
      <c r="EH109" s="1206"/>
      <c r="EI109" s="1206"/>
      <c r="EJ109" s="1206"/>
      <c r="EK109" s="1206"/>
      <c r="EL109" s="1206"/>
      <c r="EM109" s="1206"/>
      <c r="EN109" s="1206"/>
      <c r="EO109" s="1206"/>
      <c r="EP109" s="1206"/>
      <c r="EQ109" s="1206"/>
      <c r="ER109" s="1206"/>
      <c r="ES109" s="1206"/>
      <c r="ET109" s="1206"/>
      <c r="EU109" s="1206"/>
      <c r="EV109" s="1206"/>
      <c r="EW109" s="1206"/>
      <c r="EX109" s="1206"/>
      <c r="EY109" s="1206"/>
      <c r="EZ109" s="1206"/>
      <c r="FA109" s="1206"/>
      <c r="FB109" s="1206"/>
      <c r="FC109" s="1206"/>
      <c r="FD109" s="1206"/>
      <c r="FE109" s="1206"/>
      <c r="FF109" s="1206"/>
      <c r="FG109" s="1206"/>
      <c r="FH109" s="1206"/>
      <c r="FI109" s="1206"/>
      <c r="FJ109" s="1206"/>
      <c r="FK109" s="1206"/>
      <c r="FL109" s="1206"/>
      <c r="FM109" s="1206"/>
      <c r="FN109" s="1206"/>
      <c r="FO109" s="1206"/>
      <c r="FP109" s="1206"/>
      <c r="FQ109" s="1206"/>
      <c r="FR109" s="1206"/>
      <c r="FS109" s="1206"/>
      <c r="FT109" s="1206"/>
      <c r="FU109" s="1206"/>
      <c r="FV109" s="1207"/>
      <c r="FW109" s="1201"/>
      <c r="FX109" s="1202"/>
    </row>
    <row s="925" customFormat="1" customHeight="1" ht="24.75">
      <c r="B110" s="923"/>
      <c r="C110" s="924"/>
      <c r="D110" s="924"/>
      <c r="E110" s="1835"/>
      <c r="F110" s="1208">
        <v>1</v>
      </c>
      <c r="G110" s="1209"/>
      <c r="H110" s="1210"/>
      <c r="I110" s="1982"/>
      <c r="J110" s="1211"/>
      <c r="K110" s="1211"/>
      <c r="L110" s="1211"/>
      <c r="M110" s="1211"/>
      <c r="N110" s="1211"/>
      <c r="O110" s="1212"/>
      <c r="P110" s="1212"/>
      <c r="Q110" s="1212"/>
      <c r="R110" s="1212"/>
      <c r="S110" s="1212"/>
      <c r="T110" s="1212"/>
      <c r="U110" s="1212"/>
      <c r="V110" s="1212"/>
      <c r="W110" s="1212"/>
      <c r="X110" s="1212"/>
      <c r="Y110" s="1212"/>
      <c r="Z110" s="1212"/>
      <c r="AA110" s="1212"/>
      <c r="AB110" s="1212"/>
      <c r="AC110" s="1211"/>
      <c r="AD110" s="1211"/>
      <c r="AE110" s="1211"/>
      <c r="AF110" s="1211"/>
      <c r="AG110" s="1211"/>
      <c r="AH110" s="1211"/>
      <c r="AI110" s="1211"/>
      <c r="AJ110" s="1211"/>
      <c r="AK110" s="1211"/>
      <c r="AL110" s="1211"/>
      <c r="AM110" s="1211"/>
      <c r="AN110" s="1211"/>
      <c r="AO110" s="1211"/>
      <c r="AP110" s="1211"/>
      <c r="AQ110" s="1211"/>
      <c r="AR110" s="1211"/>
      <c r="AS110" s="1211"/>
      <c r="AT110" s="1211"/>
      <c r="AU110" s="1211"/>
      <c r="AV110" s="1211"/>
      <c r="AW110" s="1211"/>
      <c r="AX110" s="1211"/>
      <c r="AY110" s="1211"/>
      <c r="AZ110" s="1211"/>
      <c r="BA110" s="1211"/>
      <c r="BB110" s="1211"/>
      <c r="BC110" s="1211"/>
      <c r="BD110" s="1211"/>
      <c r="BE110" s="1211"/>
      <c r="BF110" s="1211"/>
      <c r="BG110" s="1211"/>
      <c r="BH110" s="1211"/>
      <c r="BI110" s="1211"/>
      <c r="BJ110" s="1211"/>
      <c r="BK110" s="1211"/>
      <c r="BL110" s="1211"/>
      <c r="BM110" s="1211"/>
      <c r="BN110" s="1211"/>
      <c r="BO110" s="1211"/>
      <c r="BP110" s="1211"/>
      <c r="BQ110" s="1211"/>
      <c r="BR110" s="1211"/>
      <c r="BS110" s="1211"/>
      <c r="BT110" s="1212"/>
      <c r="BU110" s="1212"/>
      <c r="BV110" s="1212"/>
      <c r="BW110" s="1212"/>
      <c r="BX110" s="1212"/>
      <c r="BY110" s="1212"/>
      <c r="BZ110" s="1212"/>
      <c r="CA110" s="1212"/>
      <c r="CB110" s="1212"/>
      <c r="CC110" s="1212"/>
      <c r="CD110" s="1212"/>
      <c r="CE110" s="1212"/>
      <c r="CF110" s="1212"/>
      <c r="CG110" s="1212"/>
      <c r="CH110" s="1212"/>
      <c r="CI110" s="1212"/>
      <c r="CJ110" s="1212"/>
      <c r="CK110" s="1212"/>
      <c r="CL110" s="1211"/>
      <c r="CM110" s="1211"/>
      <c r="CN110" s="1211"/>
      <c r="CO110" s="1211"/>
      <c r="CP110" s="1211"/>
      <c r="CQ110" s="1211"/>
      <c r="CR110" s="1211"/>
      <c r="CS110" s="1211"/>
      <c r="CT110" s="1211"/>
      <c r="CU110" s="1211"/>
      <c r="CV110" s="1211"/>
      <c r="CW110" s="1211"/>
      <c r="CX110" s="1211"/>
      <c r="CY110" s="1212"/>
      <c r="CZ110" s="1212"/>
      <c r="DA110" s="1212"/>
      <c r="DB110" s="1212"/>
      <c r="DC110" s="1212"/>
      <c r="DD110" s="1212"/>
      <c r="DE110" s="1212"/>
      <c r="DF110" s="1212"/>
      <c r="DG110" s="1212"/>
      <c r="DH110" s="1212"/>
      <c r="DI110" s="1212"/>
      <c r="DJ110" s="1212"/>
      <c r="DK110" s="1211"/>
      <c r="DL110" s="1211"/>
      <c r="DM110" s="1211"/>
      <c r="DN110" s="1211"/>
      <c r="DO110" s="1211"/>
      <c r="DP110" s="1211"/>
      <c r="DQ110" s="1211"/>
      <c r="DR110" s="1211"/>
      <c r="DS110" s="1211"/>
      <c r="DT110" s="1211"/>
      <c r="DU110" s="1211"/>
      <c r="DV110" s="1211"/>
      <c r="DW110" s="1211"/>
      <c r="DX110" s="1211"/>
      <c r="DY110" s="1211"/>
      <c r="DZ110" s="1211"/>
      <c r="EA110" s="1211"/>
      <c r="EB110" s="1211"/>
      <c r="EC110" s="1211"/>
      <c r="ED110" s="1211"/>
      <c r="EE110" s="1211"/>
      <c r="EF110" s="1211"/>
      <c r="EG110" s="1211"/>
      <c r="EH110" s="1211"/>
      <c r="EI110" s="1211"/>
      <c r="EJ110" s="1211"/>
      <c r="EK110" s="1211"/>
      <c r="EL110" s="1211"/>
      <c r="EM110" s="1211"/>
      <c r="EN110" s="1211"/>
      <c r="EO110" s="1211"/>
      <c r="EP110" s="1211"/>
      <c r="EQ110" s="1211"/>
      <c r="ER110" s="1211"/>
      <c r="ES110" s="1211"/>
      <c r="ET110" s="1211"/>
      <c r="EU110" s="1211"/>
      <c r="EV110" s="1211"/>
      <c r="EW110" s="1211"/>
      <c r="EX110" s="1211"/>
      <c r="EY110" s="1211"/>
      <c r="EZ110" s="1211"/>
      <c r="FA110" s="1211"/>
      <c r="FB110" s="1211"/>
      <c r="FC110" s="1211"/>
      <c r="FD110" s="1211"/>
      <c r="FE110" s="1211"/>
      <c r="FF110" s="1211"/>
      <c r="FG110" s="1211"/>
      <c r="FH110" s="1211"/>
      <c r="FI110" s="1211"/>
      <c r="FJ110" s="1211"/>
      <c r="FK110" s="1211"/>
      <c r="FL110" s="1211"/>
      <c r="FM110" s="1211"/>
      <c r="FN110" s="1211"/>
      <c r="FO110" s="1211"/>
      <c r="FP110" s="1211"/>
      <c r="FQ110" s="1211"/>
      <c r="FR110" s="1211"/>
      <c r="FS110" s="1211"/>
      <c r="FT110" s="1211"/>
      <c r="FU110" s="1211"/>
      <c r="FV110" s="1211"/>
      <c r="FW110" s="1211"/>
      <c r="FX110" s="1202"/>
    </row>
    <row s="925" customFormat="1" customHeight="1" ht="12">
      <c r="A111" s="924"/>
      <c r="B111" s="923"/>
      <c r="C111" s="924"/>
      <c r="D111" s="924"/>
      <c r="E111" s="924"/>
      <c r="F111" s="1213"/>
      <c r="G111" s="1800" t="s">
        <v>1930</v>
      </c>
      <c r="H111" s="1214"/>
      <c r="I111" s="1214"/>
      <c r="J111" s="1214"/>
      <c r="K111" s="1214"/>
      <c r="L111" s="1214"/>
      <c r="M111" s="1214"/>
      <c r="N111" s="1214"/>
      <c r="O111" s="1214"/>
      <c r="P111" s="1214"/>
      <c r="Q111" s="1214"/>
      <c r="R111" s="1214"/>
      <c r="S111" s="1214"/>
      <c r="T111" s="1214"/>
      <c r="U111" s="1214"/>
      <c r="V111" s="1214"/>
      <c r="W111" s="1214"/>
      <c r="X111" s="1214"/>
      <c r="Y111" s="1214"/>
      <c r="Z111" s="1214"/>
      <c r="AA111" s="1214"/>
      <c r="AB111" s="1214"/>
      <c r="AC111" s="1214"/>
      <c r="AD111" s="1214"/>
      <c r="AE111" s="1214"/>
      <c r="AF111" s="1214"/>
      <c r="AG111" s="1214"/>
      <c r="AH111" s="1214"/>
      <c r="AI111" s="1214"/>
      <c r="AJ111" s="1214"/>
      <c r="AK111" s="1214"/>
      <c r="AL111" s="1214"/>
      <c r="AM111" s="1214"/>
      <c r="AN111" s="1214"/>
      <c r="AO111" s="1214"/>
      <c r="AP111" s="1214"/>
      <c r="AQ111" s="1214"/>
      <c r="AR111" s="1214"/>
      <c r="AS111" s="1214"/>
      <c r="AT111" s="1214"/>
      <c r="AU111" s="1214"/>
      <c r="AV111" s="1214"/>
      <c r="AW111" s="1214"/>
      <c r="AX111" s="1214"/>
      <c r="AY111" s="1214"/>
      <c r="AZ111" s="1214"/>
      <c r="BA111" s="1214"/>
      <c r="BB111" s="1214"/>
      <c r="BC111" s="1214"/>
      <c r="BD111" s="1214"/>
      <c r="BE111" s="1214"/>
      <c r="BF111" s="1214"/>
      <c r="BG111" s="1214"/>
      <c r="BH111" s="1214"/>
      <c r="BI111" s="1214"/>
      <c r="BJ111" s="1214"/>
      <c r="BK111" s="1214"/>
      <c r="BL111" s="1214"/>
      <c r="BM111" s="1214"/>
      <c r="BN111" s="1214"/>
      <c r="BO111" s="1214"/>
      <c r="BP111" s="1214"/>
      <c r="BQ111" s="1214"/>
      <c r="BR111" s="1214"/>
      <c r="BS111" s="1214"/>
      <c r="BT111" s="1214"/>
      <c r="BU111" s="1214"/>
      <c r="BV111" s="1214"/>
      <c r="BW111" s="1214"/>
      <c r="BX111" s="1214"/>
      <c r="BY111" s="1214"/>
      <c r="BZ111" s="1214"/>
      <c r="CA111" s="1214"/>
      <c r="CB111" s="1214"/>
      <c r="CC111" s="1214"/>
      <c r="CD111" s="1214"/>
      <c r="CE111" s="1214"/>
      <c r="CF111" s="1214"/>
      <c r="CG111" s="1214"/>
      <c r="CH111" s="1214"/>
      <c r="CI111" s="1214"/>
      <c r="CJ111" s="1214"/>
      <c r="CK111" s="1214"/>
      <c r="CL111" s="1214"/>
      <c r="CM111" s="1214"/>
      <c r="CN111" s="1214"/>
      <c r="CO111" s="1214"/>
      <c r="CP111" s="1214"/>
      <c r="CQ111" s="1214"/>
      <c r="CR111" s="1214"/>
      <c r="CS111" s="1214"/>
      <c r="CT111" s="1214"/>
      <c r="CU111" s="1214"/>
      <c r="CV111" s="1214"/>
      <c r="CW111" s="1214"/>
      <c r="CX111" s="1214"/>
      <c r="CY111" s="1214"/>
      <c r="CZ111" s="1214"/>
      <c r="DA111" s="1214"/>
      <c r="DB111" s="1214"/>
      <c r="DC111" s="1214"/>
      <c r="DD111" s="1214"/>
      <c r="DE111" s="1214"/>
      <c r="DF111" s="1214"/>
      <c r="DG111" s="1214"/>
      <c r="DH111" s="1214"/>
      <c r="DI111" s="1214"/>
      <c r="DJ111" s="1214"/>
      <c r="DK111" s="1214"/>
      <c r="DL111" s="1214"/>
      <c r="DM111" s="1214"/>
      <c r="DN111" s="1214"/>
      <c r="DO111" s="1214"/>
      <c r="DP111" s="1214"/>
      <c r="DQ111" s="1214"/>
      <c r="DR111" s="1214"/>
      <c r="DS111" s="1214"/>
      <c r="DT111" s="1214"/>
      <c r="DU111" s="1214"/>
      <c r="DV111" s="1214"/>
      <c r="DW111" s="1214"/>
      <c r="DX111" s="1214"/>
      <c r="DY111" s="1214"/>
      <c r="DZ111" s="1214"/>
      <c r="EA111" s="1214"/>
      <c r="EB111" s="1214"/>
      <c r="EC111" s="1214"/>
      <c r="ED111" s="1214"/>
      <c r="EE111" s="1214"/>
      <c r="EF111" s="1214"/>
      <c r="EG111" s="1214"/>
      <c r="EH111" s="1214"/>
      <c r="EI111" s="1214"/>
      <c r="EJ111" s="1214"/>
      <c r="EK111" s="1214"/>
      <c r="EL111" s="1214"/>
      <c r="EM111" s="1214"/>
      <c r="EN111" s="1214"/>
      <c r="EO111" s="1214"/>
      <c r="EP111" s="1214"/>
      <c r="EQ111" s="1214"/>
      <c r="ER111" s="1214"/>
      <c r="ES111" s="1214"/>
      <c r="ET111" s="1214"/>
      <c r="EU111" s="1214"/>
      <c r="EV111" s="1214"/>
      <c r="EW111" s="1214"/>
      <c r="EX111" s="1214"/>
      <c r="EY111" s="1214"/>
      <c r="EZ111" s="1214"/>
      <c r="FA111" s="1214"/>
      <c r="FB111" s="1214"/>
      <c r="FC111" s="1214"/>
      <c r="FD111" s="1214"/>
      <c r="FE111" s="1214"/>
      <c r="FF111" s="1214"/>
      <c r="FG111" s="1214"/>
      <c r="FH111" s="1214"/>
      <c r="FI111" s="1214"/>
      <c r="FJ111" s="1214"/>
      <c r="FK111" s="1214"/>
      <c r="FL111" s="1214"/>
      <c r="FM111" s="1214"/>
      <c r="FN111" s="1214"/>
      <c r="FO111" s="1214"/>
      <c r="FP111" s="1214"/>
      <c r="FQ111" s="1214"/>
      <c r="FR111" s="1214"/>
      <c r="FS111" s="1214"/>
      <c r="FT111" s="1214"/>
      <c r="FU111" s="1214"/>
      <c r="FV111" s="1214"/>
      <c r="FW111" s="1215"/>
      <c r="FX111" s="1216"/>
      <c r="FY111" s="941"/>
      <c r="FZ111" s="941"/>
      <c r="GA111" s="941"/>
      <c r="GB111" s="941"/>
    </row>
    <row r="113" s="1815" customFormat="1" customHeight="1" ht="11.25">
      <c r="A113" s="1815" t="s">
        <v>1931</v>
      </c>
    </row>
    <row r="115" s="1850" customFormat="1" customHeight="1" ht="15">
      <c r="A115" s="623"/>
      <c r="B115" s="624"/>
      <c r="C115" s="624"/>
      <c r="D115" s="2578" t="s">
        <v>109</v>
      </c>
      <c r="E115" s="2377" t="s">
        <v>105</v>
      </c>
      <c r="F115" s="2378"/>
      <c r="G115" s="2379"/>
      <c r="H115" s="2383" t="str">
        <f>IF(A115="","",INDEX(DIFFERENTIATION_UNMERGE_VD,MATCH(A115,DIFFERENTIATION_ID_DIFF,0)))</f>
        <v/>
      </c>
      <c r="I115" s="2383"/>
      <c r="J115" s="2383"/>
      <c r="K115" s="2383"/>
      <c r="L115" s="2383"/>
      <c r="M115" s="2383"/>
      <c r="N115" s="2383"/>
      <c r="O115" s="2383"/>
      <c r="P115" s="2383"/>
      <c r="Q115" s="2383"/>
      <c r="R115" s="2383"/>
      <c r="S115" s="719"/>
      <c r="T115" s="716"/>
      <c r="U115" s="625"/>
      <c r="V115" s="625"/>
      <c r="W115" s="626"/>
      <c r="X115" s="626"/>
      <c r="Y115" s="626"/>
      <c r="Z115" s="626"/>
      <c r="AA115" s="627"/>
      <c r="AB115" s="628"/>
      <c r="AC115" s="2375"/>
      <c r="AD115" s="629"/>
      <c r="AE115" s="630" t="s">
        <v>22</v>
      </c>
      <c r="AF115" s="630"/>
      <c r="AG115" s="631" t="s">
        <v>611</v>
      </c>
      <c r="AH115" s="632">
        <v>3</v>
      </c>
      <c r="AI115" s="625"/>
      <c r="AJ115" s="625"/>
      <c r="AK115" s="625"/>
      <c r="AL115" s="625"/>
      <c r="AM115" s="625"/>
      <c r="AN115" s="625"/>
      <c r="AO115" s="625"/>
      <c r="AP115" s="625"/>
      <c r="AQ115" s="625"/>
      <c r="AR115" s="625"/>
      <c r="AS115" s="625"/>
      <c r="AT115" s="625"/>
      <c r="AU115" s="625"/>
      <c r="AV115" s="625"/>
      <c r="AW115" s="625"/>
      <c r="AX115" s="625"/>
      <c r="AY115" s="625"/>
      <c r="AZ115" s="625"/>
      <c r="BA115" s="625"/>
      <c r="BB115" s="625"/>
      <c r="BC115" s="625"/>
      <c r="BD115" s="625"/>
      <c r="BE115" s="625"/>
      <c r="BF115" s="625"/>
      <c r="BG115" s="625"/>
      <c r="BH115" s="625"/>
      <c r="BI115" s="625"/>
      <c r="BJ115" s="625"/>
      <c r="BK115" s="625"/>
      <c r="BL115" s="625"/>
      <c r="BM115" s="625"/>
      <c r="BN115" s="625"/>
      <c r="BO115" s="625"/>
      <c r="BP115" s="625"/>
      <c r="BQ115" s="625"/>
      <c r="BR115" s="625"/>
      <c r="BS115" s="625"/>
      <c r="BT115" s="625"/>
      <c r="BU115" s="625"/>
      <c r="BV115" s="626"/>
      <c r="BW115" s="626"/>
      <c r="BX115" s="626"/>
      <c r="BY115" s="626"/>
      <c r="BZ115" s="626"/>
      <c r="CA115" s="626"/>
      <c r="CB115" s="626"/>
      <c r="CC115" s="626"/>
      <c r="CD115" s="626"/>
      <c r="CE115" s="626"/>
    </row>
    <row s="1850" customFormat="1" customHeight="1" ht="15">
      <c r="A116" s="623"/>
      <c r="B116" s="624"/>
      <c r="C116" s="624"/>
      <c r="D116" s="2579"/>
      <c r="E116" s="2377" t="s">
        <v>566</v>
      </c>
      <c r="F116" s="2378"/>
      <c r="G116" s="2379"/>
      <c r="H116" s="2383" t="str">
        <f>IF(A115="","",INDEX(DIFFERENTIATION_UNMERGE_AREA,MATCH(A115,DIFFERENTIATION_ID_DIFF,0)))</f>
        <v/>
      </c>
      <c r="I116" s="2383"/>
      <c r="J116" s="2383"/>
      <c r="K116" s="2383"/>
      <c r="L116" s="2383"/>
      <c r="M116" s="2383"/>
      <c r="N116" s="2383"/>
      <c r="O116" s="2383"/>
      <c r="P116" s="2383"/>
      <c r="Q116" s="2383"/>
      <c r="R116" s="2383"/>
      <c r="S116" s="719"/>
      <c r="T116" s="716"/>
      <c r="U116" s="625"/>
      <c r="V116" s="625"/>
      <c r="W116" s="626"/>
      <c r="X116" s="626"/>
      <c r="Y116" s="626"/>
      <c r="Z116" s="626"/>
      <c r="AA116" s="627"/>
      <c r="AB116" s="628"/>
      <c r="AC116" s="2375"/>
      <c r="AD116" s="629"/>
      <c r="AE116" s="630"/>
      <c r="AF116" s="630"/>
      <c r="AG116" s="631"/>
      <c r="AH116" s="632"/>
      <c r="AI116" s="625"/>
      <c r="AJ116" s="625"/>
      <c r="AK116" s="625"/>
      <c r="AL116" s="625"/>
      <c r="AM116" s="625"/>
      <c r="AN116" s="625"/>
      <c r="AO116" s="625"/>
      <c r="AP116" s="625"/>
      <c r="AQ116" s="625"/>
      <c r="AR116" s="625"/>
      <c r="AS116" s="625"/>
      <c r="AT116" s="625"/>
      <c r="AU116" s="625"/>
      <c r="AV116" s="625"/>
      <c r="AW116" s="625"/>
      <c r="AX116" s="625"/>
      <c r="AY116" s="625"/>
      <c r="AZ116" s="625"/>
      <c r="BA116" s="625"/>
      <c r="BB116" s="625"/>
      <c r="BC116" s="625"/>
      <c r="BD116" s="625"/>
      <c r="BE116" s="625"/>
      <c r="BF116" s="625"/>
      <c r="BG116" s="625"/>
      <c r="BH116" s="625"/>
      <c r="BI116" s="625"/>
      <c r="BJ116" s="625"/>
      <c r="BK116" s="625"/>
      <c r="BL116" s="625"/>
      <c r="BM116" s="625"/>
      <c r="BN116" s="625"/>
      <c r="BO116" s="625"/>
      <c r="BP116" s="625"/>
      <c r="BQ116" s="625"/>
      <c r="BR116" s="625"/>
      <c r="BS116" s="625"/>
      <c r="BT116" s="625"/>
      <c r="BU116" s="625"/>
      <c r="BV116" s="626"/>
      <c r="BW116" s="626"/>
      <c r="BX116" s="626"/>
      <c r="BY116" s="626"/>
      <c r="BZ116" s="626"/>
      <c r="CA116" s="626"/>
      <c r="CB116" s="626"/>
      <c r="CC116" s="626"/>
      <c r="CD116" s="626"/>
      <c r="CE116" s="626"/>
    </row>
    <row s="1850" customFormat="1" customHeight="1" ht="15">
      <c r="A117" s="623"/>
      <c r="B117" s="624"/>
      <c r="C117" s="624"/>
      <c r="D117" s="2579"/>
      <c r="E117" s="2377" t="s">
        <v>567</v>
      </c>
      <c r="F117" s="2378"/>
      <c r="G117" s="2379"/>
      <c r="H117" s="2383" t="str">
        <f>IF(A115="","",INDEX(DIFFERENTIATION_UNMERGE_SYSTEM,MATCH(A115,DIFFERENTIATION_ID_DIFF,0)))</f>
        <v/>
      </c>
      <c r="I117" s="2383"/>
      <c r="J117" s="2383"/>
      <c r="K117" s="2383"/>
      <c r="L117" s="2383"/>
      <c r="M117" s="2383"/>
      <c r="N117" s="2383"/>
      <c r="O117" s="2383"/>
      <c r="P117" s="2383"/>
      <c r="Q117" s="2383"/>
      <c r="R117" s="2383"/>
      <c r="S117" s="719"/>
      <c r="T117" s="716"/>
      <c r="U117" s="625"/>
      <c r="V117" s="625"/>
      <c r="W117" s="626"/>
      <c r="X117" s="626"/>
      <c r="Y117" s="626"/>
      <c r="Z117" s="626"/>
      <c r="AA117" s="627"/>
      <c r="AB117" s="628"/>
      <c r="AC117" s="2375"/>
      <c r="AD117" s="629"/>
      <c r="AE117" s="630"/>
      <c r="AF117" s="630"/>
      <c r="AG117" s="631"/>
      <c r="AH117" s="632"/>
      <c r="AI117" s="625"/>
      <c r="AJ117" s="625"/>
      <c r="AK117" s="625"/>
      <c r="AL117" s="625"/>
      <c r="AM117" s="625"/>
      <c r="AN117" s="625"/>
      <c r="AO117" s="625"/>
      <c r="AP117" s="625"/>
      <c r="AQ117" s="625"/>
      <c r="AR117" s="625"/>
      <c r="AS117" s="625"/>
      <c r="AT117" s="625"/>
      <c r="AU117" s="625"/>
      <c r="AV117" s="625"/>
      <c r="AW117" s="625"/>
      <c r="AX117" s="625"/>
      <c r="AY117" s="625"/>
      <c r="AZ117" s="625"/>
      <c r="BA117" s="625"/>
      <c r="BB117" s="625"/>
      <c r="BC117" s="625"/>
      <c r="BD117" s="625"/>
      <c r="BE117" s="625"/>
      <c r="BF117" s="625"/>
      <c r="BG117" s="625"/>
      <c r="BH117" s="625"/>
      <c r="BI117" s="625"/>
      <c r="BJ117" s="625"/>
      <c r="BK117" s="625"/>
      <c r="BL117" s="625"/>
      <c r="BM117" s="625"/>
      <c r="BN117" s="625"/>
      <c r="BO117" s="625"/>
      <c r="BP117" s="625"/>
      <c r="BQ117" s="625"/>
      <c r="BR117" s="625"/>
      <c r="BS117" s="625"/>
      <c r="BT117" s="625"/>
      <c r="BU117" s="625"/>
      <c r="BV117" s="626"/>
      <c r="BW117" s="626"/>
      <c r="BX117" s="626"/>
      <c r="BY117" s="626"/>
      <c r="BZ117" s="626"/>
      <c r="CA117" s="626"/>
      <c r="CB117" s="626"/>
      <c r="CC117" s="626"/>
      <c r="CD117" s="626"/>
      <c r="CE117" s="626"/>
    </row>
    <row s="1850" customFormat="1" customHeight="1" ht="24.75">
      <c r="A118" s="1806"/>
      <c r="B118" s="1160"/>
      <c r="C118" s="412"/>
      <c r="D118" s="2579"/>
      <c r="E118" s="2376" t="s">
        <v>612</v>
      </c>
      <c r="F118" s="2376"/>
      <c r="G118" s="2376"/>
      <c r="H118" s="2376"/>
      <c r="I118" s="2376"/>
      <c r="J118" s="2376"/>
      <c r="K118" s="2376"/>
      <c r="L118" s="2376"/>
      <c r="M118" s="2376"/>
      <c r="N118" s="2376"/>
      <c r="O118" s="2376"/>
      <c r="P118" s="2376"/>
      <c r="Q118" s="558">
        <f>SUMIF(T119:T120,"i",Q119:Q120)</f>
        <v>0</v>
      </c>
      <c r="R118" s="1017"/>
      <c r="S118" s="1798" t="s">
        <v>613</v>
      </c>
      <c r="T118" s="717" t="s">
        <v>614</v>
      </c>
      <c r="U118" s="2374">
        <v>1</v>
      </c>
      <c r="V118" s="2374" t="s">
        <v>577</v>
      </c>
      <c r="W118" s="1160"/>
      <c r="X118" s="1160"/>
      <c r="Y118" s="1160"/>
      <c r="Z118" s="1160"/>
      <c r="AA118" s="1636"/>
      <c r="AB118" s="1160"/>
      <c r="AC118" s="2375"/>
      <c r="AD118" s="629"/>
      <c r="AE118" s="1160"/>
      <c r="AF118" s="1160"/>
      <c r="AG118" s="1636"/>
      <c r="AH118" s="1636"/>
      <c r="AI118" s="1636"/>
      <c r="AJ118" s="1636"/>
      <c r="AK118" s="1636"/>
      <c r="AL118" s="1636"/>
      <c r="AM118" s="1636"/>
      <c r="AN118" s="1636"/>
      <c r="AO118" s="1636"/>
      <c r="AP118" s="1636"/>
      <c r="AQ118" s="1636"/>
      <c r="AR118" s="1636"/>
      <c r="AS118" s="1636"/>
      <c r="AT118" s="1636"/>
      <c r="AU118" s="1636"/>
      <c r="AV118" s="1636"/>
      <c r="AW118" s="1636"/>
      <c r="AX118" s="1636"/>
      <c r="AY118" s="1636"/>
      <c r="AZ118" s="1636"/>
      <c r="BA118" s="1636"/>
      <c r="BB118" s="1636"/>
      <c r="BC118" s="1636"/>
      <c r="BD118" s="1636"/>
      <c r="BE118" s="1636"/>
      <c r="BF118" s="1636"/>
      <c r="BG118" s="1636"/>
      <c r="BH118" s="1636"/>
      <c r="BI118" s="1636"/>
      <c r="BJ118" s="1636"/>
      <c r="BK118" s="1636"/>
      <c r="BL118" s="1636"/>
      <c r="BM118" s="1636"/>
      <c r="BN118" s="1636"/>
      <c r="BO118" s="1636"/>
      <c r="BP118" s="1636"/>
      <c r="BQ118" s="1636"/>
      <c r="BR118" s="1636"/>
      <c r="BS118" s="1636"/>
      <c r="BT118" s="1636"/>
      <c r="BU118" s="1636"/>
      <c r="BV118" s="1160"/>
      <c r="BW118" s="1160"/>
      <c r="BX118" s="1160"/>
      <c r="BY118" s="1160"/>
      <c r="BZ118" s="1160"/>
      <c r="CA118" s="1160"/>
      <c r="CB118" s="1160"/>
      <c r="CC118" s="1160"/>
      <c r="CD118" s="1160"/>
      <c r="CE118" s="1160"/>
    </row>
    <row s="1850" customFormat="1" customHeight="1" ht="11.25" hidden="1">
      <c r="A119" s="1793"/>
      <c r="B119" s="1636"/>
      <c r="C119" s="1636"/>
      <c r="D119" s="2579"/>
      <c r="E119" s="635"/>
      <c r="F119" s="635">
        <v>0</v>
      </c>
      <c r="G119" s="635"/>
      <c r="H119" s="635"/>
      <c r="I119" s="635"/>
      <c r="J119" s="635"/>
      <c r="K119" s="635"/>
      <c r="L119" s="635"/>
      <c r="M119" s="635"/>
      <c r="N119" s="635"/>
      <c r="O119" s="635"/>
      <c r="P119" s="635"/>
      <c r="Q119" s="635"/>
      <c r="R119" s="635"/>
      <c r="S119" s="636"/>
      <c r="T119" s="718"/>
      <c r="U119" s="2374"/>
      <c r="V119" s="2374"/>
      <c r="W119" s="1636"/>
      <c r="X119" s="1636"/>
      <c r="Y119" s="1636"/>
      <c r="Z119" s="1636"/>
      <c r="AA119" s="1636"/>
      <c r="AB119" s="1160"/>
      <c r="AC119" s="2375"/>
      <c r="AD119" s="629"/>
      <c r="AE119" s="1160"/>
      <c r="AF119" s="1160"/>
      <c r="AG119" s="1636"/>
      <c r="AH119" s="1636"/>
      <c r="AI119" s="1636"/>
      <c r="AJ119" s="1636"/>
      <c r="AK119" s="1636"/>
      <c r="AL119" s="1636"/>
      <c r="AM119" s="1636"/>
      <c r="AN119" s="1636"/>
      <c r="AO119" s="1636"/>
      <c r="AP119" s="1636"/>
      <c r="AQ119" s="1636"/>
      <c r="AR119" s="1636"/>
      <c r="AS119" s="1636"/>
      <c r="AT119" s="1636"/>
      <c r="AU119" s="1636"/>
      <c r="AV119" s="1636"/>
      <c r="AW119" s="1636"/>
      <c r="AX119" s="1636"/>
      <c r="AY119" s="1636"/>
      <c r="AZ119" s="1636"/>
      <c r="BA119" s="1636"/>
      <c r="BB119" s="1636"/>
      <c r="BC119" s="1636"/>
      <c r="BD119" s="1636"/>
      <c r="BE119" s="1636"/>
      <c r="BF119" s="1636"/>
      <c r="BG119" s="1636"/>
      <c r="BH119" s="1636"/>
      <c r="BI119" s="1636"/>
      <c r="BJ119" s="1636"/>
      <c r="BK119" s="1636"/>
      <c r="BL119" s="1636"/>
      <c r="BM119" s="1636"/>
      <c r="BN119" s="1636"/>
      <c r="BO119" s="1636"/>
      <c r="BP119" s="1636"/>
      <c r="BQ119" s="1636"/>
      <c r="BR119" s="1636"/>
      <c r="BS119" s="1636"/>
      <c r="BT119" s="1636"/>
      <c r="BU119" s="1636"/>
      <c r="BV119" s="1636"/>
      <c r="BW119" s="1636"/>
      <c r="BX119" s="1636"/>
      <c r="BY119" s="1636"/>
      <c r="BZ119" s="1636"/>
      <c r="CA119" s="1636"/>
      <c r="CB119" s="1636"/>
      <c r="CC119" s="1636"/>
      <c r="CD119" s="1636"/>
      <c r="CE119" s="1636"/>
    </row>
    <row s="1850" customFormat="1" customHeight="1" ht="11.25">
      <c r="A120" s="1806"/>
      <c r="B120" s="1160"/>
      <c r="C120" s="412"/>
      <c r="D120" s="2579"/>
      <c r="E120" s="649" t="s">
        <v>22</v>
      </c>
      <c r="F120" s="1168" t="s">
        <v>22</v>
      </c>
      <c r="G120" s="1168" t="s">
        <v>617</v>
      </c>
      <c r="H120" s="651" t="s">
        <v>22</v>
      </c>
      <c r="I120" s="651"/>
      <c r="J120" s="651"/>
      <c r="K120" s="651"/>
      <c r="L120" s="651"/>
      <c r="M120" s="651"/>
      <c r="N120" s="651"/>
      <c r="O120" s="651"/>
      <c r="P120" s="651"/>
      <c r="Q120" s="651"/>
      <c r="R120" s="652"/>
      <c r="S120" s="653"/>
      <c r="T120" s="718"/>
      <c r="U120" s="2374"/>
      <c r="V120" s="2374"/>
      <c r="W120" s="1160"/>
      <c r="X120" s="1160"/>
      <c r="Y120" s="1160"/>
      <c r="Z120" s="1160"/>
      <c r="AA120" s="1636"/>
      <c r="AB120" s="1160"/>
      <c r="AC120" s="2375"/>
      <c r="AD120" s="629"/>
      <c r="AE120" s="1160"/>
      <c r="AF120" s="1160"/>
      <c r="AG120" s="1636"/>
      <c r="AH120" s="1636"/>
      <c r="AI120" s="1636"/>
      <c r="AJ120" s="1636"/>
      <c r="AK120" s="1636"/>
      <c r="AL120" s="1636"/>
      <c r="AM120" s="1636"/>
      <c r="AN120" s="1636"/>
      <c r="AO120" s="1636"/>
      <c r="AP120" s="1636"/>
      <c r="AQ120" s="1636"/>
      <c r="AR120" s="1636"/>
      <c r="AS120" s="1636"/>
      <c r="AT120" s="1636"/>
      <c r="AU120" s="1636"/>
      <c r="AV120" s="1636"/>
      <c r="AW120" s="1636"/>
      <c r="AX120" s="1636"/>
      <c r="AY120" s="1636"/>
      <c r="AZ120" s="1636"/>
      <c r="BA120" s="1636"/>
      <c r="BB120" s="1636"/>
      <c r="BC120" s="1636"/>
      <c r="BD120" s="1636"/>
      <c r="BE120" s="1636"/>
      <c r="BF120" s="1636"/>
      <c r="BG120" s="1636"/>
      <c r="BH120" s="1636"/>
      <c r="BI120" s="1636"/>
      <c r="BJ120" s="1636"/>
      <c r="BK120" s="1636"/>
      <c r="BL120" s="1636"/>
      <c r="BM120" s="1636"/>
      <c r="BN120" s="1636"/>
      <c r="BO120" s="1636"/>
      <c r="BP120" s="1636"/>
      <c r="BQ120" s="1636"/>
      <c r="BR120" s="1636"/>
      <c r="BS120" s="1636"/>
      <c r="BT120" s="1636"/>
      <c r="BU120" s="1636"/>
      <c r="BV120" s="1160"/>
      <c r="BW120" s="1160"/>
      <c r="BX120" s="1160"/>
      <c r="BY120" s="1160"/>
      <c r="BZ120" s="1160"/>
      <c r="CA120" s="1160"/>
      <c r="CB120" s="1160"/>
      <c r="CC120" s="1160"/>
      <c r="CD120" s="1160"/>
      <c r="CE120" s="1160"/>
    </row>
    <row s="1850" customFormat="1" customHeight="1" ht="24.75">
      <c r="A121" s="1806"/>
      <c r="B121" s="1160"/>
      <c r="C121" s="412"/>
      <c r="D121" s="2579"/>
      <c r="E121" s="2376" t="s">
        <v>615</v>
      </c>
      <c r="F121" s="2376"/>
      <c r="G121" s="2376"/>
      <c r="H121" s="2376"/>
      <c r="I121" s="2376"/>
      <c r="J121" s="2376"/>
      <c r="K121" s="2376"/>
      <c r="L121" s="2376"/>
      <c r="M121" s="2376"/>
      <c r="N121" s="2376"/>
      <c r="O121" s="2376"/>
      <c r="P121" s="2376"/>
      <c r="Q121" s="558">
        <f>SUMIF(T122:T123,"i",Q122:Q123)</f>
        <v>0</v>
      </c>
      <c r="R121" s="1017"/>
      <c r="S121" s="1798" t="s">
        <v>616</v>
      </c>
      <c r="T121" s="717" t="s">
        <v>614</v>
      </c>
      <c r="U121" s="2374">
        <v>1</v>
      </c>
      <c r="V121" s="2374" t="s">
        <v>577</v>
      </c>
      <c r="W121" s="1160"/>
      <c r="X121" s="1160"/>
      <c r="Y121" s="1160"/>
      <c r="Z121" s="1160"/>
      <c r="AA121" s="1636"/>
      <c r="AB121" s="1160"/>
      <c r="AC121" s="1796"/>
      <c r="AD121" s="629"/>
      <c r="AE121" s="1160"/>
      <c r="AF121" s="1160"/>
      <c r="AG121" s="1636"/>
      <c r="AH121" s="1636"/>
      <c r="AI121" s="1636"/>
      <c r="AJ121" s="1636"/>
      <c r="AK121" s="1636"/>
      <c r="AL121" s="1636"/>
      <c r="AM121" s="1636"/>
      <c r="AN121" s="1636"/>
      <c r="AO121" s="1636"/>
      <c r="AP121" s="1636"/>
      <c r="AQ121" s="1636"/>
      <c r="AR121" s="1636"/>
      <c r="AS121" s="1636"/>
      <c r="AT121" s="1636"/>
      <c r="AU121" s="1636"/>
      <c r="AV121" s="1636"/>
      <c r="AW121" s="1636"/>
      <c r="AX121" s="1636"/>
      <c r="AY121" s="1636"/>
      <c r="AZ121" s="1636"/>
      <c r="BA121" s="1636"/>
      <c r="BB121" s="1636"/>
      <c r="BC121" s="1636"/>
      <c r="BD121" s="1636"/>
      <c r="BE121" s="1636"/>
      <c r="BF121" s="1636"/>
      <c r="BG121" s="1636"/>
      <c r="BH121" s="1636"/>
      <c r="BI121" s="1636"/>
      <c r="BJ121" s="1636"/>
      <c r="BK121" s="1636"/>
      <c r="BL121" s="1636"/>
      <c r="BM121" s="1636"/>
      <c r="BN121" s="1636"/>
      <c r="BO121" s="1636"/>
      <c r="BP121" s="1636"/>
      <c r="BQ121" s="1636"/>
      <c r="BR121" s="1636"/>
      <c r="BS121" s="1636"/>
      <c r="BT121" s="1636"/>
      <c r="BU121" s="1636"/>
      <c r="BV121" s="1160"/>
      <c r="BW121" s="1160"/>
      <c r="BX121" s="1160"/>
      <c r="BY121" s="1160"/>
      <c r="BZ121" s="1160"/>
      <c r="CA121" s="1160"/>
      <c r="CB121" s="1160"/>
      <c r="CC121" s="1160"/>
      <c r="CD121" s="1160"/>
      <c r="CE121" s="1160"/>
    </row>
    <row s="1850" customFormat="1" customHeight="1" ht="11.25" hidden="1">
      <c r="A122" s="1793"/>
      <c r="B122" s="1636"/>
      <c r="C122" s="1636"/>
      <c r="D122" s="2579"/>
      <c r="E122" s="635"/>
      <c r="F122" s="635">
        <v>0</v>
      </c>
      <c r="G122" s="635"/>
      <c r="H122" s="635"/>
      <c r="I122" s="635"/>
      <c r="J122" s="635"/>
      <c r="K122" s="635"/>
      <c r="L122" s="635"/>
      <c r="M122" s="635"/>
      <c r="N122" s="635"/>
      <c r="O122" s="635"/>
      <c r="P122" s="635"/>
      <c r="Q122" s="635"/>
      <c r="R122" s="635"/>
      <c r="S122" s="636"/>
      <c r="T122" s="718"/>
      <c r="U122" s="2374"/>
      <c r="V122" s="2374"/>
      <c r="W122" s="1636"/>
      <c r="X122" s="1636"/>
      <c r="Y122" s="1636"/>
      <c r="Z122" s="1636"/>
      <c r="AA122" s="1636"/>
      <c r="AB122" s="1160"/>
      <c r="AC122" s="1796"/>
      <c r="AD122" s="629"/>
      <c r="AE122" s="1160"/>
      <c r="AF122" s="1160"/>
      <c r="AG122" s="1636"/>
      <c r="AH122" s="1636"/>
      <c r="AI122" s="1636"/>
      <c r="AJ122" s="1636"/>
      <c r="AK122" s="1636"/>
      <c r="AL122" s="1636"/>
      <c r="AM122" s="1636"/>
      <c r="AN122" s="1636"/>
      <c r="AO122" s="1636"/>
      <c r="AP122" s="1636"/>
      <c r="AQ122" s="1636"/>
      <c r="AR122" s="1636"/>
      <c r="AS122" s="1636"/>
      <c r="AT122" s="1636"/>
      <c r="AU122" s="1636"/>
      <c r="AV122" s="1636"/>
      <c r="AW122" s="1636"/>
      <c r="AX122" s="1636"/>
      <c r="AY122" s="1636"/>
      <c r="AZ122" s="1636"/>
      <c r="BA122" s="1636"/>
      <c r="BB122" s="1636"/>
      <c r="BC122" s="1636"/>
      <c r="BD122" s="1636"/>
      <c r="BE122" s="1636"/>
      <c r="BF122" s="1636"/>
      <c r="BG122" s="1636"/>
      <c r="BH122" s="1636"/>
      <c r="BI122" s="1636"/>
      <c r="BJ122" s="1636"/>
      <c r="BK122" s="1636"/>
      <c r="BL122" s="1636"/>
      <c r="BM122" s="1636"/>
      <c r="BN122" s="1636"/>
      <c r="BO122" s="1636"/>
      <c r="BP122" s="1636"/>
      <c r="BQ122" s="1636"/>
      <c r="BR122" s="1636"/>
      <c r="BS122" s="1636"/>
      <c r="BT122" s="1636"/>
      <c r="BU122" s="1636"/>
      <c r="BV122" s="1636"/>
      <c r="BW122" s="1636"/>
      <c r="BX122" s="1636"/>
      <c r="BY122" s="1636"/>
      <c r="BZ122" s="1636"/>
      <c r="CA122" s="1636"/>
      <c r="CB122" s="1636"/>
      <c r="CC122" s="1636"/>
      <c r="CD122" s="1636"/>
      <c r="CE122" s="1636"/>
    </row>
    <row s="1850" customFormat="1" customHeight="1" ht="11.25">
      <c r="A123" s="1806"/>
      <c r="B123" s="1160"/>
      <c r="C123" s="412"/>
      <c r="D123" s="2580"/>
      <c r="E123" s="649" t="s">
        <v>22</v>
      </c>
      <c r="F123" s="1168" t="s">
        <v>22</v>
      </c>
      <c r="G123" s="1168" t="s">
        <v>617</v>
      </c>
      <c r="H123" s="651" t="s">
        <v>22</v>
      </c>
      <c r="I123" s="651"/>
      <c r="J123" s="651"/>
      <c r="K123" s="651"/>
      <c r="L123" s="651"/>
      <c r="M123" s="651"/>
      <c r="N123" s="651"/>
      <c r="O123" s="651"/>
      <c r="P123" s="651"/>
      <c r="Q123" s="651"/>
      <c r="R123" s="652"/>
      <c r="S123" s="653"/>
      <c r="T123" s="718"/>
      <c r="U123" s="2374"/>
      <c r="V123" s="2374"/>
      <c r="W123" s="1160"/>
      <c r="X123" s="1160"/>
      <c r="Y123" s="1160"/>
      <c r="Z123" s="1160"/>
      <c r="AA123" s="1636"/>
      <c r="AB123" s="1160"/>
      <c r="AC123" s="1796"/>
      <c r="AD123" s="629"/>
      <c r="AE123" s="1160"/>
      <c r="AF123" s="1160"/>
      <c r="AG123" s="1636"/>
      <c r="AH123" s="1636"/>
      <c r="AI123" s="1636"/>
      <c r="AJ123" s="1636"/>
      <c r="AK123" s="1636"/>
      <c r="AL123" s="1636"/>
      <c r="AM123" s="1636"/>
      <c r="AN123" s="1636"/>
      <c r="AO123" s="1636"/>
      <c r="AP123" s="1636"/>
      <c r="AQ123" s="1636"/>
      <c r="AR123" s="1636"/>
      <c r="AS123" s="1636"/>
      <c r="AT123" s="1636"/>
      <c r="AU123" s="1636"/>
      <c r="AV123" s="1636"/>
      <c r="AW123" s="1636"/>
      <c r="AX123" s="1636"/>
      <c r="AY123" s="1636"/>
      <c r="AZ123" s="1636"/>
      <c r="BA123" s="1636"/>
      <c r="BB123" s="1636"/>
      <c r="BC123" s="1636"/>
      <c r="BD123" s="1636"/>
      <c r="BE123" s="1636"/>
      <c r="BF123" s="1636"/>
      <c r="BG123" s="1636"/>
      <c r="BH123" s="1636"/>
      <c r="BI123" s="1636"/>
      <c r="BJ123" s="1636"/>
      <c r="BK123" s="1636"/>
      <c r="BL123" s="1636"/>
      <c r="BM123" s="1636"/>
      <c r="BN123" s="1636"/>
      <c r="BO123" s="1636"/>
      <c r="BP123" s="1636"/>
      <c r="BQ123" s="1636"/>
      <c r="BR123" s="1636"/>
      <c r="BS123" s="1636"/>
      <c r="BT123" s="1636"/>
      <c r="BU123" s="1636"/>
      <c r="BV123" s="1160"/>
      <c r="BW123" s="1160"/>
      <c r="BX123" s="1160"/>
      <c r="BY123" s="1160"/>
      <c r="BZ123" s="1160"/>
      <c r="CA123" s="1160"/>
      <c r="CB123" s="1160"/>
      <c r="CC123" s="1160"/>
      <c r="CD123" s="1160"/>
      <c r="CE123" s="1160"/>
    </row>
    <row r="125" s="1815" customFormat="1" customHeight="1" ht="11.25">
      <c r="A125" s="1815" t="s">
        <v>1932</v>
      </c>
    </row>
    <row r="127" s="1850" customFormat="1" customHeight="1" ht="15" hidden="1">
      <c r="A127" s="623"/>
      <c r="B127" s="624"/>
      <c r="C127" s="624"/>
      <c r="D127" s="2578" t="s">
        <v>109</v>
      </c>
      <c r="E127" s="2377" t="s">
        <v>105</v>
      </c>
      <c r="F127" s="2378"/>
      <c r="G127" s="2379"/>
      <c r="H127" s="2383" t="str">
        <f>IF(A127="","",INDEX(DIFFERENTIATION_UNMERGE_VD,MATCH(A127,DIFFERENTIATION_ID_DIFF,0)))</f>
        <v/>
      </c>
      <c r="I127" s="2383"/>
      <c r="J127" s="2383"/>
      <c r="K127" s="2383"/>
      <c r="L127" s="2383"/>
      <c r="M127" s="2383"/>
      <c r="N127" s="2383"/>
      <c r="O127" s="2383"/>
      <c r="P127" s="2383"/>
      <c r="Q127" s="2383"/>
      <c r="R127" s="2383"/>
      <c r="S127" s="719"/>
      <c r="T127" s="716"/>
      <c r="U127" s="625"/>
      <c r="V127" s="625"/>
      <c r="W127" s="626"/>
      <c r="X127" s="626"/>
      <c r="Y127" s="626"/>
      <c r="Z127" s="626"/>
      <c r="AA127" s="627"/>
      <c r="AB127" s="628"/>
      <c r="AC127" s="2375"/>
      <c r="AD127" s="629"/>
      <c r="AE127" s="630" t="s">
        <v>22</v>
      </c>
      <c r="AF127" s="630"/>
      <c r="AG127" s="631" t="s">
        <v>611</v>
      </c>
      <c r="AH127" s="632">
        <v>3</v>
      </c>
      <c r="AI127" s="625"/>
      <c r="AJ127" s="625"/>
      <c r="AK127" s="625"/>
      <c r="AL127" s="625"/>
      <c r="AM127" s="625"/>
      <c r="AN127" s="625"/>
      <c r="AO127" s="625"/>
      <c r="AP127" s="625"/>
      <c r="AQ127" s="625"/>
      <c r="AR127" s="625"/>
      <c r="AS127" s="625"/>
      <c r="AT127" s="625"/>
      <c r="AU127" s="625"/>
      <c r="AV127" s="625"/>
      <c r="AW127" s="625"/>
      <c r="AX127" s="625"/>
      <c r="AY127" s="625"/>
      <c r="AZ127" s="625"/>
      <c r="BA127" s="625"/>
      <c r="BB127" s="625"/>
      <c r="BC127" s="625"/>
      <c r="BD127" s="625"/>
      <c r="BE127" s="625"/>
      <c r="BF127" s="625"/>
      <c r="BG127" s="625"/>
      <c r="BH127" s="625"/>
      <c r="BI127" s="625"/>
      <c r="BJ127" s="625"/>
      <c r="BK127" s="625"/>
      <c r="BL127" s="625"/>
      <c r="BM127" s="625"/>
      <c r="BN127" s="625"/>
      <c r="BO127" s="625"/>
      <c r="BP127" s="625"/>
      <c r="BQ127" s="625"/>
      <c r="BR127" s="625"/>
      <c r="BS127" s="625"/>
      <c r="BT127" s="625"/>
      <c r="BU127" s="625"/>
      <c r="BV127" s="626"/>
      <c r="BW127" s="626"/>
      <c r="BX127" s="626"/>
      <c r="BY127" s="626"/>
      <c r="BZ127" s="626"/>
      <c r="CA127" s="626"/>
      <c r="CB127" s="626"/>
      <c r="CC127" s="626"/>
      <c r="CD127" s="626"/>
      <c r="CE127" s="626"/>
    </row>
    <row s="1850" customFormat="1" customHeight="1" ht="15" hidden="1">
      <c r="A128" s="623"/>
      <c r="B128" s="624"/>
      <c r="C128" s="624"/>
      <c r="D128" s="2579"/>
      <c r="E128" s="2377" t="s">
        <v>566</v>
      </c>
      <c r="F128" s="2378"/>
      <c r="G128" s="2379"/>
      <c r="H128" s="2383" t="str">
        <f>IF(A127="","",INDEX(DIFFERENTIATION_UNMERGE_AREA,MATCH(A127,DIFFERENTIATION_ID_DIFF,0)))</f>
        <v/>
      </c>
      <c r="I128" s="2383"/>
      <c r="J128" s="2383"/>
      <c r="K128" s="2383"/>
      <c r="L128" s="2383"/>
      <c r="M128" s="2383"/>
      <c r="N128" s="2383"/>
      <c r="O128" s="2383"/>
      <c r="P128" s="2383"/>
      <c r="Q128" s="2383"/>
      <c r="R128" s="2383"/>
      <c r="S128" s="719"/>
      <c r="T128" s="716"/>
      <c r="U128" s="625"/>
      <c r="V128" s="625"/>
      <c r="W128" s="626"/>
      <c r="X128" s="626"/>
      <c r="Y128" s="626"/>
      <c r="Z128" s="626"/>
      <c r="AA128" s="627"/>
      <c r="AB128" s="628"/>
      <c r="AC128" s="2375"/>
      <c r="AD128" s="629"/>
      <c r="AE128" s="630"/>
      <c r="AF128" s="630"/>
      <c r="AG128" s="631"/>
      <c r="AH128" s="632"/>
      <c r="AI128" s="625"/>
      <c r="AJ128" s="625"/>
      <c r="AK128" s="625"/>
      <c r="AL128" s="625"/>
      <c r="AM128" s="625"/>
      <c r="AN128" s="625"/>
      <c r="AO128" s="625"/>
      <c r="AP128" s="625"/>
      <c r="AQ128" s="625"/>
      <c r="AR128" s="625"/>
      <c r="AS128" s="625"/>
      <c r="AT128" s="625"/>
      <c r="AU128" s="625"/>
      <c r="AV128" s="625"/>
      <c r="AW128" s="625"/>
      <c r="AX128" s="625"/>
      <c r="AY128" s="625"/>
      <c r="AZ128" s="625"/>
      <c r="BA128" s="625"/>
      <c r="BB128" s="625"/>
      <c r="BC128" s="625"/>
      <c r="BD128" s="625"/>
      <c r="BE128" s="625"/>
      <c r="BF128" s="625"/>
      <c r="BG128" s="625"/>
      <c r="BH128" s="625"/>
      <c r="BI128" s="625"/>
      <c r="BJ128" s="625"/>
      <c r="BK128" s="625"/>
      <c r="BL128" s="625"/>
      <c r="BM128" s="625"/>
      <c r="BN128" s="625"/>
      <c r="BO128" s="625"/>
      <c r="BP128" s="625"/>
      <c r="BQ128" s="625"/>
      <c r="BR128" s="625"/>
      <c r="BS128" s="625"/>
      <c r="BT128" s="625"/>
      <c r="BU128" s="625"/>
      <c r="BV128" s="626"/>
      <c r="BW128" s="626"/>
      <c r="BX128" s="626"/>
      <c r="BY128" s="626"/>
      <c r="BZ128" s="626"/>
      <c r="CA128" s="626"/>
      <c r="CB128" s="626"/>
      <c r="CC128" s="626"/>
      <c r="CD128" s="626"/>
      <c r="CE128" s="626"/>
    </row>
    <row s="1850" customFormat="1" customHeight="1" ht="15" hidden="1">
      <c r="A129" s="623"/>
      <c r="B129" s="624"/>
      <c r="C129" s="624"/>
      <c r="D129" s="2579"/>
      <c r="E129" s="2377" t="s">
        <v>567</v>
      </c>
      <c r="F129" s="2378"/>
      <c r="G129" s="2379"/>
      <c r="H129" s="2383" t="str">
        <f>IF(A127="","",INDEX(DIFFERENTIATION_UNMERGE_SYSTEM,MATCH(A127,DIFFERENTIATION_ID_DIFF,0)))</f>
        <v/>
      </c>
      <c r="I129" s="2383"/>
      <c r="J129" s="2383"/>
      <c r="K129" s="2383"/>
      <c r="L129" s="2383"/>
      <c r="M129" s="2383"/>
      <c r="N129" s="2383"/>
      <c r="O129" s="2383"/>
      <c r="P129" s="2383"/>
      <c r="Q129" s="2383"/>
      <c r="R129" s="2383"/>
      <c r="S129" s="719"/>
      <c r="T129" s="716"/>
      <c r="U129" s="625"/>
      <c r="V129" s="625"/>
      <c r="W129" s="626"/>
      <c r="X129" s="626"/>
      <c r="Y129" s="626"/>
      <c r="Z129" s="626"/>
      <c r="AA129" s="627"/>
      <c r="AB129" s="628"/>
      <c r="AC129" s="2375"/>
      <c r="AD129" s="629"/>
      <c r="AE129" s="630"/>
      <c r="AF129" s="630"/>
      <c r="AG129" s="631"/>
      <c r="AH129" s="632"/>
      <c r="AI129" s="625"/>
      <c r="AJ129" s="625"/>
      <c r="AK129" s="625"/>
      <c r="AL129" s="625"/>
      <c r="AM129" s="625"/>
      <c r="AN129" s="625"/>
      <c r="AO129" s="625"/>
      <c r="AP129" s="625"/>
      <c r="AQ129" s="625"/>
      <c r="AR129" s="625"/>
      <c r="AS129" s="625"/>
      <c r="AT129" s="625"/>
      <c r="AU129" s="625"/>
      <c r="AV129" s="625"/>
      <c r="AW129" s="625"/>
      <c r="AX129" s="625"/>
      <c r="AY129" s="625"/>
      <c r="AZ129" s="625"/>
      <c r="BA129" s="625"/>
      <c r="BB129" s="625"/>
      <c r="BC129" s="625"/>
      <c r="BD129" s="625"/>
      <c r="BE129" s="625"/>
      <c r="BF129" s="625"/>
      <c r="BG129" s="625"/>
      <c r="BH129" s="625"/>
      <c r="BI129" s="625"/>
      <c r="BJ129" s="625"/>
      <c r="BK129" s="625"/>
      <c r="BL129" s="625"/>
      <c r="BM129" s="625"/>
      <c r="BN129" s="625"/>
      <c r="BO129" s="625"/>
      <c r="BP129" s="625"/>
      <c r="BQ129" s="625"/>
      <c r="BR129" s="625"/>
      <c r="BS129" s="625"/>
      <c r="BT129" s="625"/>
      <c r="BU129" s="625"/>
      <c r="BV129" s="626"/>
      <c r="BW129" s="626"/>
      <c r="BX129" s="626"/>
      <c r="BY129" s="626"/>
      <c r="BZ129" s="626"/>
      <c r="CA129" s="626"/>
      <c r="CB129" s="626"/>
      <c r="CC129" s="626"/>
      <c r="CD129" s="626"/>
      <c r="CE129" s="626"/>
    </row>
    <row s="1850" customFormat="1" customHeight="1" ht="24.75" hidden="1">
      <c r="A130" s="1806"/>
      <c r="B130" s="1160"/>
      <c r="C130" s="412"/>
      <c r="D130" s="2579"/>
      <c r="E130" s="2376" t="s">
        <v>612</v>
      </c>
      <c r="F130" s="2376"/>
      <c r="G130" s="2376"/>
      <c r="H130" s="2376"/>
      <c r="I130" s="2376"/>
      <c r="J130" s="2376"/>
      <c r="K130" s="2376"/>
      <c r="L130" s="2376"/>
      <c r="M130" s="2376"/>
      <c r="N130" s="2376"/>
      <c r="O130" s="2376"/>
      <c r="P130" s="2376"/>
      <c r="Q130" s="558">
        <f>SUMIF(T131:T132,"i",Q131:Q132)</f>
        <v>0</v>
      </c>
      <c r="R130" s="1017"/>
      <c r="S130" s="1798" t="s">
        <v>613</v>
      </c>
      <c r="T130" s="717" t="s">
        <v>614</v>
      </c>
      <c r="U130" s="2374">
        <v>1</v>
      </c>
      <c r="V130" s="2374" t="s">
        <v>577</v>
      </c>
      <c r="W130" s="1160"/>
      <c r="X130" s="1160"/>
      <c r="Y130" s="1160"/>
      <c r="Z130" s="1160"/>
      <c r="AA130" s="1636"/>
      <c r="AB130" s="1160"/>
      <c r="AC130" s="2375"/>
      <c r="AD130" s="629"/>
      <c r="AE130" s="1160"/>
      <c r="AF130" s="1160"/>
      <c r="AG130" s="1636"/>
      <c r="AH130" s="1636"/>
      <c r="AI130" s="1636"/>
      <c r="AJ130" s="1636"/>
      <c r="AK130" s="1636"/>
      <c r="AL130" s="1636"/>
      <c r="AM130" s="1636"/>
      <c r="AN130" s="1636"/>
      <c r="AO130" s="1636"/>
      <c r="AP130" s="1636"/>
      <c r="AQ130" s="1636"/>
      <c r="AR130" s="1636"/>
      <c r="AS130" s="1636"/>
      <c r="AT130" s="1636"/>
      <c r="AU130" s="1636"/>
      <c r="AV130" s="1636"/>
      <c r="AW130" s="1636"/>
      <c r="AX130" s="1636"/>
      <c r="AY130" s="1636"/>
      <c r="AZ130" s="1636"/>
      <c r="BA130" s="1636"/>
      <c r="BB130" s="1636"/>
      <c r="BC130" s="1636"/>
      <c r="BD130" s="1636"/>
      <c r="BE130" s="1636"/>
      <c r="BF130" s="1636"/>
      <c r="BG130" s="1636"/>
      <c r="BH130" s="1636"/>
      <c r="BI130" s="1636"/>
      <c r="BJ130" s="1636"/>
      <c r="BK130" s="1636"/>
      <c r="BL130" s="1636"/>
      <c r="BM130" s="1636"/>
      <c r="BN130" s="1636"/>
      <c r="BO130" s="1636"/>
      <c r="BP130" s="1636"/>
      <c r="BQ130" s="1636"/>
      <c r="BR130" s="1636"/>
      <c r="BS130" s="1636"/>
      <c r="BT130" s="1636"/>
      <c r="BU130" s="1636"/>
      <c r="BV130" s="1160"/>
      <c r="BW130" s="1160"/>
      <c r="BX130" s="1160"/>
      <c r="BY130" s="1160"/>
      <c r="BZ130" s="1160"/>
      <c r="CA130" s="1160"/>
      <c r="CB130" s="1160"/>
      <c r="CC130" s="1160"/>
      <c r="CD130" s="1160"/>
      <c r="CE130" s="1160"/>
    </row>
    <row s="1850" customFormat="1" customHeight="1" ht="11.25" hidden="1">
      <c r="A131" s="1793"/>
      <c r="B131" s="1636"/>
      <c r="C131" s="1636"/>
      <c r="D131" s="2579"/>
      <c r="E131" s="635"/>
      <c r="F131" s="635">
        <v>0</v>
      </c>
      <c r="G131" s="635"/>
      <c r="H131" s="635"/>
      <c r="I131" s="635"/>
      <c r="J131" s="635"/>
      <c r="K131" s="635"/>
      <c r="L131" s="635"/>
      <c r="M131" s="635"/>
      <c r="N131" s="635"/>
      <c r="O131" s="635"/>
      <c r="P131" s="635"/>
      <c r="Q131" s="635"/>
      <c r="R131" s="635"/>
      <c r="S131" s="636"/>
      <c r="T131" s="718"/>
      <c r="U131" s="2374"/>
      <c r="V131" s="2374"/>
      <c r="W131" s="1636"/>
      <c r="X131" s="1636"/>
      <c r="Y131" s="1636"/>
      <c r="Z131" s="1636"/>
      <c r="AA131" s="1636"/>
      <c r="AB131" s="1160"/>
      <c r="AC131" s="2375"/>
      <c r="AD131" s="629"/>
      <c r="AE131" s="1160"/>
      <c r="AF131" s="1160"/>
      <c r="AG131" s="1636"/>
      <c r="AH131" s="1636"/>
      <c r="AI131" s="1636"/>
      <c r="AJ131" s="1636"/>
      <c r="AK131" s="1636"/>
      <c r="AL131" s="1636"/>
      <c r="AM131" s="1636"/>
      <c r="AN131" s="1636"/>
      <c r="AO131" s="1636"/>
      <c r="AP131" s="1636"/>
      <c r="AQ131" s="1636"/>
      <c r="AR131" s="1636"/>
      <c r="AS131" s="1636"/>
      <c r="AT131" s="1636"/>
      <c r="AU131" s="1636"/>
      <c r="AV131" s="1636"/>
      <c r="AW131" s="1636"/>
      <c r="AX131" s="1636"/>
      <c r="AY131" s="1636"/>
      <c r="AZ131" s="1636"/>
      <c r="BA131" s="1636"/>
      <c r="BB131" s="1636"/>
      <c r="BC131" s="1636"/>
      <c r="BD131" s="1636"/>
      <c r="BE131" s="1636"/>
      <c r="BF131" s="1636"/>
      <c r="BG131" s="1636"/>
      <c r="BH131" s="1636"/>
      <c r="BI131" s="1636"/>
      <c r="BJ131" s="1636"/>
      <c r="BK131" s="1636"/>
      <c r="BL131" s="1636"/>
      <c r="BM131" s="1636"/>
      <c r="BN131" s="1636"/>
      <c r="BO131" s="1636"/>
      <c r="BP131" s="1636"/>
      <c r="BQ131" s="1636"/>
      <c r="BR131" s="1636"/>
      <c r="BS131" s="1636"/>
      <c r="BT131" s="1636"/>
      <c r="BU131" s="1636"/>
      <c r="BV131" s="1636"/>
      <c r="BW131" s="1636"/>
      <c r="BX131" s="1636"/>
      <c r="BY131" s="1636"/>
      <c r="BZ131" s="1636"/>
      <c r="CA131" s="1636"/>
      <c r="CB131" s="1636"/>
      <c r="CC131" s="1636"/>
      <c r="CD131" s="1636"/>
      <c r="CE131" s="1636"/>
    </row>
    <row s="1850" customFormat="1" customHeight="1" ht="11.25" hidden="1">
      <c r="A132" s="1806"/>
      <c r="B132" s="1160"/>
      <c r="C132" s="412"/>
      <c r="D132" s="2579"/>
      <c r="E132" s="649" t="s">
        <v>22</v>
      </c>
      <c r="F132" s="1168" t="s">
        <v>22</v>
      </c>
      <c r="G132" s="1168" t="s">
        <v>617</v>
      </c>
      <c r="H132" s="651" t="s">
        <v>22</v>
      </c>
      <c r="I132" s="651"/>
      <c r="J132" s="651"/>
      <c r="K132" s="651"/>
      <c r="L132" s="651"/>
      <c r="M132" s="651"/>
      <c r="N132" s="651"/>
      <c r="O132" s="651"/>
      <c r="P132" s="651"/>
      <c r="Q132" s="651"/>
      <c r="R132" s="652"/>
      <c r="S132" s="653"/>
      <c r="T132" s="718"/>
      <c r="U132" s="2374"/>
      <c r="V132" s="2374"/>
      <c r="W132" s="1160"/>
      <c r="X132" s="1160"/>
      <c r="Y132" s="1160"/>
      <c r="Z132" s="1160"/>
      <c r="AA132" s="1636"/>
      <c r="AB132" s="1160"/>
      <c r="AC132" s="2375"/>
      <c r="AD132" s="629"/>
      <c r="AE132" s="1160"/>
      <c r="AF132" s="1160"/>
      <c r="AG132" s="1636"/>
      <c r="AH132" s="1636"/>
      <c r="AI132" s="1636"/>
      <c r="AJ132" s="1636"/>
      <c r="AK132" s="1636"/>
      <c r="AL132" s="1636"/>
      <c r="AM132" s="1636"/>
      <c r="AN132" s="1636"/>
      <c r="AO132" s="1636"/>
      <c r="AP132" s="1636"/>
      <c r="AQ132" s="1636"/>
      <c r="AR132" s="1636"/>
      <c r="AS132" s="1636"/>
      <c r="AT132" s="1636"/>
      <c r="AU132" s="1636"/>
      <c r="AV132" s="1636"/>
      <c r="AW132" s="1636"/>
      <c r="AX132" s="1636"/>
      <c r="AY132" s="1636"/>
      <c r="AZ132" s="1636"/>
      <c r="BA132" s="1636"/>
      <c r="BB132" s="1636"/>
      <c r="BC132" s="1636"/>
      <c r="BD132" s="1636"/>
      <c r="BE132" s="1636"/>
      <c r="BF132" s="1636"/>
      <c r="BG132" s="1636"/>
      <c r="BH132" s="1636"/>
      <c r="BI132" s="1636"/>
      <c r="BJ132" s="1636"/>
      <c r="BK132" s="1636"/>
      <c r="BL132" s="1636"/>
      <c r="BM132" s="1636"/>
      <c r="BN132" s="1636"/>
      <c r="BO132" s="1636"/>
      <c r="BP132" s="1636"/>
      <c r="BQ132" s="1636"/>
      <c r="BR132" s="1636"/>
      <c r="BS132" s="1636"/>
      <c r="BT132" s="1636"/>
      <c r="BU132" s="1636"/>
      <c r="BV132" s="1160"/>
      <c r="BW132" s="1160"/>
      <c r="BX132" s="1160"/>
      <c r="BY132" s="1160"/>
      <c r="BZ132" s="1160"/>
      <c r="CA132" s="1160"/>
      <c r="CB132" s="1160"/>
      <c r="CC132" s="1160"/>
      <c r="CD132" s="1160"/>
      <c r="CE132" s="1160"/>
    </row>
    <row s="1316" customFormat="1" customHeight="1" ht="5.25" hidden="1">
      <c r="A133" s="1793"/>
      <c r="B133" s="1636"/>
      <c r="C133" s="1636"/>
      <c r="D133" s="2579"/>
      <c r="E133" s="1039"/>
      <c r="F133" s="1039"/>
      <c r="G133" s="1039"/>
      <c r="H133" s="1039"/>
      <c r="I133" s="1039"/>
      <c r="J133" s="1039"/>
      <c r="K133" s="1039"/>
      <c r="L133" s="1039"/>
      <c r="M133" s="1039"/>
      <c r="N133" s="1039"/>
      <c r="O133" s="1039"/>
      <c r="P133" s="1039"/>
      <c r="Q133" s="1040"/>
      <c r="R133" s="1041"/>
      <c r="S133" s="1042"/>
      <c r="T133" s="717" t="s">
        <v>614</v>
      </c>
      <c r="U133" s="2374">
        <v>1</v>
      </c>
      <c r="V133" s="2374" t="s">
        <v>577</v>
      </c>
      <c r="W133" s="1636"/>
      <c r="X133" s="1636"/>
      <c r="Y133" s="1636"/>
      <c r="Z133" s="1636"/>
      <c r="AA133" s="1636"/>
      <c r="AB133" s="1636"/>
      <c r="AC133" s="1037"/>
      <c r="AD133" s="1038"/>
      <c r="AE133" s="1636"/>
      <c r="AF133" s="1636"/>
      <c r="AG133" s="1636"/>
      <c r="AH133" s="1636"/>
      <c r="AI133" s="1636"/>
      <c r="AJ133" s="1636"/>
      <c r="AK133" s="1636"/>
      <c r="AL133" s="1636"/>
      <c r="AM133" s="1636"/>
      <c r="AN133" s="1636"/>
      <c r="AO133" s="1636"/>
      <c r="AP133" s="1636"/>
      <c r="AQ133" s="1636"/>
      <c r="AR133" s="1636"/>
      <c r="AS133" s="1636"/>
      <c r="AT133" s="1636"/>
      <c r="AU133" s="1636"/>
      <c r="AV133" s="1636"/>
      <c r="AW133" s="1636"/>
      <c r="AX133" s="1636"/>
      <c r="AY133" s="1636"/>
      <c r="AZ133" s="1636"/>
      <c r="BA133" s="1636"/>
      <c r="BB133" s="1636"/>
      <c r="BC133" s="1636"/>
      <c r="BD133" s="1636"/>
      <c r="BE133" s="1636"/>
      <c r="BF133" s="1636"/>
      <c r="BG133" s="1636"/>
      <c r="BH133" s="1636"/>
      <c r="BI133" s="1636"/>
      <c r="BJ133" s="1636"/>
      <c r="BK133" s="1636"/>
      <c r="BL133" s="1636"/>
      <c r="BM133" s="1636"/>
      <c r="BN133" s="1636"/>
      <c r="BO133" s="1636"/>
      <c r="BP133" s="1636"/>
      <c r="BQ133" s="1636"/>
      <c r="BR133" s="1636"/>
      <c r="BS133" s="1636"/>
      <c r="BT133" s="1636"/>
      <c r="BU133" s="1636"/>
      <c r="BV133" s="1636"/>
      <c r="BW133" s="1636"/>
      <c r="BX133" s="1636"/>
      <c r="BY133" s="1636"/>
      <c r="BZ133" s="1636"/>
      <c r="CA133" s="1636"/>
      <c r="CB133" s="1636"/>
      <c r="CC133" s="1636"/>
      <c r="CD133" s="1636"/>
      <c r="CE133" s="1636"/>
    </row>
    <row s="1316" customFormat="1" customHeight="1" ht="5.25" hidden="1">
      <c r="A134" s="1793"/>
      <c r="B134" s="1636"/>
      <c r="C134" s="1636"/>
      <c r="D134" s="2579"/>
      <c r="E134" s="635"/>
      <c r="F134" s="635"/>
      <c r="G134" s="635"/>
      <c r="H134" s="635"/>
      <c r="I134" s="635"/>
      <c r="J134" s="635"/>
      <c r="K134" s="635"/>
      <c r="L134" s="635"/>
      <c r="M134" s="635"/>
      <c r="N134" s="635"/>
      <c r="O134" s="635"/>
      <c r="P134" s="635"/>
      <c r="Q134" s="635"/>
      <c r="R134" s="635"/>
      <c r="S134" s="636"/>
      <c r="T134" s="718"/>
      <c r="U134" s="2374"/>
      <c r="V134" s="2374"/>
      <c r="W134" s="1636"/>
      <c r="X134" s="1636"/>
      <c r="Y134" s="1636"/>
      <c r="Z134" s="1636"/>
      <c r="AA134" s="1636"/>
      <c r="AB134" s="1636"/>
      <c r="AC134" s="1037"/>
      <c r="AD134" s="1038"/>
      <c r="AE134" s="1636"/>
      <c r="AF134" s="1636"/>
      <c r="AG134" s="1636"/>
      <c r="AH134" s="1636"/>
      <c r="AI134" s="1636"/>
      <c r="AJ134" s="1636"/>
      <c r="AK134" s="1636"/>
      <c r="AL134" s="1636"/>
      <c r="AM134" s="1636"/>
      <c r="AN134" s="1636"/>
      <c r="AO134" s="1636"/>
      <c r="AP134" s="1636"/>
      <c r="AQ134" s="1636"/>
      <c r="AR134" s="1636"/>
      <c r="AS134" s="1636"/>
      <c r="AT134" s="1636"/>
      <c r="AU134" s="1636"/>
      <c r="AV134" s="1636"/>
      <c r="AW134" s="1636"/>
      <c r="AX134" s="1636"/>
      <c r="AY134" s="1636"/>
      <c r="AZ134" s="1636"/>
      <c r="BA134" s="1636"/>
      <c r="BB134" s="1636"/>
      <c r="BC134" s="1636"/>
      <c r="BD134" s="1636"/>
      <c r="BE134" s="1636"/>
      <c r="BF134" s="1636"/>
      <c r="BG134" s="1636"/>
      <c r="BH134" s="1636"/>
      <c r="BI134" s="1636"/>
      <c r="BJ134" s="1636"/>
      <c r="BK134" s="1636"/>
      <c r="BL134" s="1636"/>
      <c r="BM134" s="1636"/>
      <c r="BN134" s="1636"/>
      <c r="BO134" s="1636"/>
      <c r="BP134" s="1636"/>
      <c r="BQ134" s="1636"/>
      <c r="BR134" s="1636"/>
      <c r="BS134" s="1636"/>
      <c r="BT134" s="1636"/>
      <c r="BU134" s="1636"/>
      <c r="BV134" s="1636"/>
      <c r="BW134" s="1636"/>
      <c r="BX134" s="1636"/>
      <c r="BY134" s="1636"/>
      <c r="BZ134" s="1636"/>
      <c r="CA134" s="1636"/>
      <c r="CB134" s="1636"/>
      <c r="CC134" s="1636"/>
      <c r="CD134" s="1636"/>
      <c r="CE134" s="1636"/>
    </row>
    <row s="1316" customFormat="1" customHeight="1" ht="5.25" hidden="1">
      <c r="A135" s="1793"/>
      <c r="B135" s="1636"/>
      <c r="C135" s="1636"/>
      <c r="D135" s="2580"/>
      <c r="E135" s="1043"/>
      <c r="F135" s="1044"/>
      <c r="G135" s="1044"/>
      <c r="H135" s="1045"/>
      <c r="I135" s="1045"/>
      <c r="J135" s="1045"/>
      <c r="K135" s="1045"/>
      <c r="L135" s="1045"/>
      <c r="M135" s="1045"/>
      <c r="N135" s="1045"/>
      <c r="O135" s="1045"/>
      <c r="P135" s="1045"/>
      <c r="Q135" s="1045"/>
      <c r="R135" s="946"/>
      <c r="S135" s="1046"/>
      <c r="T135" s="718"/>
      <c r="U135" s="2374"/>
      <c r="V135" s="2374"/>
      <c r="W135" s="1636"/>
      <c r="X135" s="1636"/>
      <c r="Y135" s="1636"/>
      <c r="Z135" s="1636"/>
      <c r="AA135" s="1636"/>
      <c r="AB135" s="1636"/>
      <c r="AC135" s="1037"/>
      <c r="AD135" s="1038"/>
      <c r="AE135" s="1636"/>
      <c r="AF135" s="1636"/>
      <c r="AG135" s="1636"/>
      <c r="AH135" s="1636"/>
      <c r="AI135" s="1636"/>
      <c r="AJ135" s="1636"/>
      <c r="AK135" s="1636"/>
      <c r="AL135" s="1636"/>
      <c r="AM135" s="1636"/>
      <c r="AN135" s="1636"/>
      <c r="AO135" s="1636"/>
      <c r="AP135" s="1636"/>
      <c r="AQ135" s="1636"/>
      <c r="AR135" s="1636"/>
      <c r="AS135" s="1636"/>
      <c r="AT135" s="1636"/>
      <c r="AU135" s="1636"/>
      <c r="AV135" s="1636"/>
      <c r="AW135" s="1636"/>
      <c r="AX135" s="1636"/>
      <c r="AY135" s="1636"/>
      <c r="AZ135" s="1636"/>
      <c r="BA135" s="1636"/>
      <c r="BB135" s="1636"/>
      <c r="BC135" s="1636"/>
      <c r="BD135" s="1636"/>
      <c r="BE135" s="1636"/>
      <c r="BF135" s="1636"/>
      <c r="BG135" s="1636"/>
      <c r="BH135" s="1636"/>
      <c r="BI135" s="1636"/>
      <c r="BJ135" s="1636"/>
      <c r="BK135" s="1636"/>
      <c r="BL135" s="1636"/>
      <c r="BM135" s="1636"/>
      <c r="BN135" s="1636"/>
      <c r="BO135" s="1636"/>
      <c r="BP135" s="1636"/>
      <c r="BQ135" s="1636"/>
      <c r="BR135" s="1636"/>
      <c r="BS135" s="1636"/>
      <c r="BT135" s="1636"/>
      <c r="BU135" s="1636"/>
      <c r="BV135" s="1636"/>
      <c r="BW135" s="1636"/>
      <c r="BX135" s="1636"/>
      <c r="BY135" s="1636"/>
      <c r="BZ135" s="1636"/>
      <c r="CA135" s="1636"/>
      <c r="CB135" s="1636"/>
      <c r="CC135" s="1636"/>
      <c r="CD135" s="1636"/>
      <c r="CE135" s="1636"/>
    </row>
    <row customHeight="1" ht="17.25">
      <c r="D136" s="1836"/>
    </row>
    <row s="1815" customFormat="1" customHeight="1" ht="11.25">
      <c r="A137" s="1815" t="s">
        <v>1933</v>
      </c>
    </row>
    <row r="139" s="1850" customFormat="1" customHeight="1" ht="45">
      <c r="A139" s="1806"/>
      <c r="B139" s="1160"/>
      <c r="C139" s="412"/>
      <c r="D139" s="89"/>
      <c r="E139" s="2572"/>
      <c r="F139" s="2108" t="s">
        <v>109</v>
      </c>
      <c r="G139" s="2575" t="s">
        <v>22</v>
      </c>
      <c r="H139" s="289"/>
      <c r="I139" s="637" t="s">
        <v>109</v>
      </c>
      <c r="J139" s="1807" t="s">
        <v>1934</v>
      </c>
      <c r="K139" s="638" t="s">
        <v>548</v>
      </c>
      <c r="L139" s="2224" t="s">
        <v>548</v>
      </c>
      <c r="M139" s="2577"/>
      <c r="N139" s="638" t="s">
        <v>548</v>
      </c>
      <c r="O139" s="638" t="s">
        <v>548</v>
      </c>
      <c r="P139" s="638" t="s">
        <v>548</v>
      </c>
      <c r="Q139" s="639">
        <f>SUM(Q140:Q142)</f>
        <v>0</v>
      </c>
      <c r="R139" s="639">
        <f>IF(R136=0,0,(Q136/R136)*100)</f>
        <v>0</v>
      </c>
      <c r="S139" s="2179"/>
      <c r="T139" s="717" t="s">
        <v>614</v>
      </c>
      <c r="U139" s="89"/>
      <c r="V139" s="89"/>
      <c r="AC139" s="89"/>
    </row>
    <row s="1850" customFormat="1" customHeight="1" ht="11.25">
      <c r="A140" s="1806"/>
      <c r="B140" s="1160"/>
      <c r="C140" s="412"/>
      <c r="D140" s="89"/>
      <c r="E140" s="2573"/>
      <c r="F140" s="2108"/>
      <c r="G140" s="2575"/>
      <c r="H140" s="2127"/>
      <c r="I140" s="2515" t="s">
        <v>1025</v>
      </c>
      <c r="J140" s="2569"/>
      <c r="K140" s="2570"/>
      <c r="L140" s="640"/>
      <c r="M140" s="641" t="s">
        <v>109</v>
      </c>
      <c r="N140" s="1795"/>
      <c r="O140" s="642"/>
      <c r="P140" s="643"/>
      <c r="Q140" s="642"/>
      <c r="R140" s="644">
        <v>0</v>
      </c>
      <c r="S140" s="2179"/>
      <c r="T140" s="717"/>
      <c r="U140" s="89"/>
      <c r="V140" s="89"/>
      <c r="AC140" s="89"/>
    </row>
    <row s="1850" customFormat="1" customHeight="1" ht="11.25">
      <c r="A141" s="1806"/>
      <c r="B141" s="1160"/>
      <c r="C141" s="412"/>
      <c r="D141" s="89"/>
      <c r="E141" s="2573"/>
      <c r="F141" s="2108"/>
      <c r="G141" s="2575"/>
      <c r="H141" s="2127"/>
      <c r="I141" s="2515"/>
      <c r="J141" s="2569"/>
      <c r="K141" s="2571"/>
      <c r="L141" s="645"/>
      <c r="M141" s="646"/>
      <c r="N141" s="647" t="s">
        <v>1935</v>
      </c>
      <c r="O141" s="647"/>
      <c r="P141" s="647"/>
      <c r="Q141" s="647"/>
      <c r="R141" s="648"/>
      <c r="S141" s="2179"/>
      <c r="T141" s="717"/>
      <c r="U141" s="89"/>
      <c r="V141" s="89"/>
      <c r="AC141" s="89"/>
    </row>
    <row s="1850" customFormat="1" customHeight="1" ht="11.25">
      <c r="A142" s="1806"/>
      <c r="B142" s="1160"/>
      <c r="C142" s="412"/>
      <c r="D142" s="89"/>
      <c r="E142" s="2574"/>
      <c r="F142" s="2108"/>
      <c r="G142" s="2576"/>
      <c r="H142" s="645" t="s">
        <v>22</v>
      </c>
      <c r="I142" s="646"/>
      <c r="J142" s="647" t="s">
        <v>1936</v>
      </c>
      <c r="K142" s="647"/>
      <c r="L142" s="647"/>
      <c r="M142" s="647"/>
      <c r="N142" s="647"/>
      <c r="O142" s="647"/>
      <c r="P142" s="647"/>
      <c r="Q142" s="647"/>
      <c r="R142" s="648"/>
      <c r="S142" s="2179"/>
      <c r="T142" s="717"/>
      <c r="U142" s="89"/>
      <c r="V142" s="89"/>
      <c r="AC142" s="89"/>
    </row>
    <row r="147" s="1850" customFormat="1" customHeight="1" ht="11.25">
      <c r="A147" s="1806"/>
      <c r="B147" s="1160"/>
      <c r="C147" s="412"/>
      <c r="D147" s="89"/>
      <c r="E147" s="1830"/>
      <c r="F147" s="1830"/>
      <c r="G147" s="1830"/>
      <c r="H147" s="2127"/>
      <c r="I147" s="2515" t="s">
        <v>1025</v>
      </c>
      <c r="J147" s="2569"/>
      <c r="K147" s="2570"/>
      <c r="L147" s="640"/>
      <c r="M147" s="641" t="s">
        <v>109</v>
      </c>
      <c r="N147" s="1795"/>
      <c r="O147" s="642"/>
      <c r="P147" s="643"/>
      <c r="Q147" s="642"/>
      <c r="R147" s="644">
        <v>0</v>
      </c>
      <c r="S147" s="89"/>
      <c r="T147" s="717"/>
      <c r="U147" s="89"/>
      <c r="V147" s="89"/>
      <c r="AC147" s="89"/>
    </row>
    <row s="1850" customFormat="1" customHeight="1" ht="11.25">
      <c r="A148" s="1806"/>
      <c r="B148" s="1160"/>
      <c r="C148" s="412"/>
      <c r="D148" s="89"/>
      <c r="E148" s="1830"/>
      <c r="F148" s="1830"/>
      <c r="G148" s="1830"/>
      <c r="H148" s="2127"/>
      <c r="I148" s="2515"/>
      <c r="J148" s="2569"/>
      <c r="K148" s="2571"/>
      <c r="L148" s="645"/>
      <c r="M148" s="646"/>
      <c r="N148" s="647" t="s">
        <v>1935</v>
      </c>
      <c r="O148" s="647"/>
      <c r="P148" s="647"/>
      <c r="Q148" s="647"/>
      <c r="R148" s="648"/>
      <c r="S148" s="89"/>
      <c r="T148" s="717"/>
      <c r="U148" s="89"/>
      <c r="V148" s="89"/>
      <c r="AC148" s="89"/>
    </row>
    <row r="150" s="1850" customFormat="1" customHeight="1" ht="11.25">
      <c r="A150" s="1806"/>
      <c r="B150" s="1160"/>
      <c r="C150" s="412"/>
      <c r="D150" s="89"/>
      <c r="E150" s="1837"/>
      <c r="F150" s="1835"/>
      <c r="G150" s="1835"/>
      <c r="H150" s="1838"/>
      <c r="I150" s="1830"/>
      <c r="J150" s="1831"/>
      <c r="K150" s="1831"/>
      <c r="L150" s="640"/>
      <c r="M150" s="641" t="s">
        <v>109</v>
      </c>
      <c r="N150" s="1795"/>
      <c r="O150" s="642"/>
      <c r="P150" s="643"/>
      <c r="Q150" s="642"/>
      <c r="R150" s="644">
        <v>0</v>
      </c>
      <c r="S150" s="89"/>
      <c r="T150" s="717"/>
      <c r="U150" s="89"/>
      <c r="V150" s="89"/>
      <c r="AC150" s="89"/>
    </row>
    <row r="152" s="1815" customFormat="1" customHeight="1" ht="17.25">
      <c r="A152" s="1815" t="s">
        <v>1937</v>
      </c>
    </row>
    <row customHeight="1" ht="17.25">
      <c r="G153" s="1839"/>
      <c r="H153" s="1839"/>
      <c r="I153" s="1839"/>
      <c r="M153" s="1835"/>
    </row>
    <row s="1853" customFormat="1" customHeight="1" ht="17.25">
      <c r="A154" s="1840"/>
      <c r="C154" s="1842"/>
      <c r="D154" s="2529"/>
      <c r="E154" s="2143"/>
      <c r="F154" s="2145"/>
      <c r="G154" s="2531"/>
      <c r="H154" s="2529"/>
      <c r="I154" s="2529">
        <v>1</v>
      </c>
      <c r="J154" s="2501"/>
      <c r="K154" s="2185" t="s">
        <v>66</v>
      </c>
      <c r="L154" s="2108"/>
      <c r="M154" s="2108" t="s">
        <v>109</v>
      </c>
      <c r="N154" s="2504" t="str">
        <f>IF(Z154="","",INDEX(TERRITORY_MR_LIST,MATCH(Z154,TERRITORY_LIST_ID,0)))</f>
        <v/>
      </c>
      <c r="O154" s="2185" t="s">
        <v>66</v>
      </c>
      <c r="P154" s="2108"/>
      <c r="Q154" s="2108" t="s">
        <v>109</v>
      </c>
      <c r="R154" s="2502" t="s">
        <v>22</v>
      </c>
      <c r="S154" s="2107" t="s">
        <v>66</v>
      </c>
      <c r="T154" s="1811"/>
      <c r="U154" s="1811" t="s">
        <v>109</v>
      </c>
      <c r="V154" s="1843" t="s">
        <v>22</v>
      </c>
      <c r="W154" s="1801"/>
      <c r="Y154" s="1267"/>
      <c r="Z154" s="1267"/>
      <c r="AA154" s="1267"/>
      <c r="AB154" s="1267"/>
      <c r="AC154" s="1267"/>
      <c r="AD154" s="1267"/>
      <c r="AE154" s="1267"/>
      <c r="AF154" s="1267"/>
      <c r="AG154" s="1267"/>
      <c r="AH154" s="1267"/>
      <c r="AI154" s="1267"/>
      <c r="AJ154" s="1267"/>
      <c r="AK154" s="1267"/>
      <c r="AL154" s="1844"/>
      <c r="AM154" s="1844"/>
      <c r="AN154" s="1267"/>
      <c r="AO154" s="1267"/>
      <c r="AP154" s="1267"/>
      <c r="AQ154" s="1267"/>
    </row>
    <row s="1853" customFormat="1" customHeight="1" ht="17.25">
      <c r="A155" s="1840"/>
      <c r="C155" s="1845"/>
      <c r="D155" s="2529"/>
      <c r="E155" s="2143"/>
      <c r="F155" s="2146"/>
      <c r="G155" s="2531"/>
      <c r="H155" s="2529"/>
      <c r="I155" s="2529"/>
      <c r="J155" s="2501"/>
      <c r="K155" s="2186"/>
      <c r="L155" s="2108"/>
      <c r="M155" s="2108"/>
      <c r="N155" s="2504"/>
      <c r="O155" s="2186"/>
      <c r="P155" s="2108"/>
      <c r="Q155" s="2108"/>
      <c r="R155" s="2502"/>
      <c r="S155" s="2107"/>
      <c r="T155" s="317"/>
      <c r="U155" s="318"/>
      <c r="V155" s="318" t="s">
        <v>416</v>
      </c>
      <c r="W155" s="319"/>
      <c r="Y155" s="1259"/>
      <c r="Z155" s="1259"/>
      <c r="AA155" s="1259"/>
      <c r="AB155" s="1259"/>
      <c r="AC155" s="1259"/>
      <c r="AD155" s="1259"/>
      <c r="AE155" s="1259"/>
      <c r="AF155" s="1259"/>
      <c r="AG155" s="1259"/>
      <c r="AH155" s="1259"/>
      <c r="AI155" s="1259"/>
      <c r="AJ155" s="1259"/>
      <c r="AK155" s="1259"/>
    </row>
    <row s="1853" customFormat="1" customHeight="1" ht="17.25">
      <c r="A156" s="1840"/>
      <c r="C156" s="1845"/>
      <c r="D156" s="2503"/>
      <c r="E156" s="2530"/>
      <c r="F156" s="2146"/>
      <c r="G156" s="2532"/>
      <c r="H156" s="2503"/>
      <c r="I156" s="2503"/>
      <c r="J156" s="2533"/>
      <c r="K156" s="2186"/>
      <c r="L156" s="2503"/>
      <c r="M156" s="2503"/>
      <c r="N156" s="2505"/>
      <c r="O156" s="2112"/>
      <c r="P156" s="317"/>
      <c r="Q156" s="318"/>
      <c r="R156" s="318" t="s">
        <v>417</v>
      </c>
      <c r="S156" s="1846"/>
      <c r="T156" s="1846"/>
      <c r="U156" s="1846"/>
      <c r="V156" s="1846"/>
      <c r="W156" s="319"/>
      <c r="Y156" s="1259"/>
      <c r="Z156" s="1259"/>
      <c r="AA156" s="1259"/>
      <c r="AB156" s="1259"/>
      <c r="AC156" s="1259"/>
      <c r="AD156" s="1259"/>
      <c r="AE156" s="1259"/>
      <c r="AF156" s="1259"/>
      <c r="AG156" s="1259"/>
      <c r="AH156" s="1259"/>
      <c r="AI156" s="1259"/>
      <c r="AJ156" s="1259"/>
      <c r="AK156" s="1259"/>
    </row>
    <row s="1853" customFormat="1" customHeight="1" ht="17.25">
      <c r="A157" s="1840"/>
      <c r="C157" s="1845"/>
      <c r="D157" s="2503"/>
      <c r="E157" s="2530"/>
      <c r="F157" s="2146"/>
      <c r="G157" s="2532"/>
      <c r="H157" s="2503"/>
      <c r="I157" s="2503"/>
      <c r="J157" s="2533"/>
      <c r="K157" s="2112"/>
      <c r="L157" s="317"/>
      <c r="M157" s="318"/>
      <c r="N157" s="318" t="s">
        <v>418</v>
      </c>
      <c r="O157" s="318"/>
      <c r="P157" s="318"/>
      <c r="Q157" s="318"/>
      <c r="R157" s="318"/>
      <c r="S157" s="1846"/>
      <c r="T157" s="1846"/>
      <c r="U157" s="1846"/>
      <c r="V157" s="1846"/>
      <c r="W157" s="319"/>
      <c r="Y157" s="1259"/>
      <c r="Z157" s="1259"/>
      <c r="AA157" s="1259"/>
      <c r="AB157" s="1259"/>
      <c r="AC157" s="1259"/>
      <c r="AD157" s="1259"/>
      <c r="AE157" s="1259"/>
      <c r="AF157" s="1259"/>
      <c r="AG157" s="1259"/>
      <c r="AH157" s="1259"/>
      <c r="AI157" s="1259"/>
      <c r="AJ157" s="1259"/>
      <c r="AK157" s="1259"/>
    </row>
    <row s="1853" customFormat="1" customHeight="1" ht="17.25">
      <c r="A158" s="1840"/>
      <c r="C158" s="1845"/>
      <c r="D158" s="2503"/>
      <c r="E158" s="2530"/>
      <c r="F158" s="2147"/>
      <c r="G158" s="2532"/>
      <c r="H158" s="317"/>
      <c r="I158" s="318"/>
      <c r="J158" s="318" t="s">
        <v>450</v>
      </c>
      <c r="K158" s="318"/>
      <c r="L158" s="318"/>
      <c r="M158" s="318"/>
      <c r="N158" s="318"/>
      <c r="O158" s="318"/>
      <c r="P158" s="318"/>
      <c r="Q158" s="318"/>
      <c r="R158" s="318"/>
      <c r="S158" s="1846"/>
      <c r="T158" s="1846"/>
      <c r="U158" s="1846"/>
      <c r="V158" s="1846"/>
      <c r="W158" s="319"/>
      <c r="Y158" s="1259"/>
      <c r="Z158" s="1259"/>
      <c r="AA158" s="1259"/>
      <c r="AB158" s="1259"/>
      <c r="AC158" s="1259"/>
      <c r="AD158" s="1259"/>
      <c r="AE158" s="1259"/>
      <c r="AF158" s="1259"/>
      <c r="AG158" s="1259"/>
      <c r="AH158" s="1259"/>
      <c r="AI158" s="1259"/>
      <c r="AJ158" s="1259"/>
      <c r="AK158" s="1259"/>
    </row>
    <row customHeight="1" ht="17.25">
      <c r="G159" s="1839"/>
      <c r="H159" s="1839"/>
      <c r="I159" s="1839"/>
      <c r="M159" s="1835"/>
    </row>
    <row s="1853" customFormat="1" customHeight="1" ht="17.25">
      <c r="A160" s="1840"/>
      <c r="C160" s="1842"/>
      <c r="D160" s="1830"/>
      <c r="E160" s="1847"/>
      <c r="F160" s="1784"/>
      <c r="G160" s="1848"/>
      <c r="H160" s="2529"/>
      <c r="I160" s="2529">
        <v>1</v>
      </c>
      <c r="J160" s="2501"/>
      <c r="K160" s="2185" t="s">
        <v>66</v>
      </c>
      <c r="L160" s="2108"/>
      <c r="M160" s="2108" t="s">
        <v>109</v>
      </c>
      <c r="N160" s="2504" t="str">
        <f>IF(Z160="","",INDEX(TERRITORY_MR_LIST,MATCH(Z160,TERRITORY_LIST_ID,0)))</f>
        <v/>
      </c>
      <c r="O160" s="2185" t="s">
        <v>66</v>
      </c>
      <c r="P160" s="2108"/>
      <c r="Q160" s="2108" t="s">
        <v>109</v>
      </c>
      <c r="R160" s="2502" t="s">
        <v>22</v>
      </c>
      <c r="S160" s="2107" t="s">
        <v>66</v>
      </c>
      <c r="T160" s="1811"/>
      <c r="U160" s="1811" t="s">
        <v>109</v>
      </c>
      <c r="V160" s="1843" t="s">
        <v>22</v>
      </c>
      <c r="W160" s="1801"/>
      <c r="Y160" s="1267"/>
      <c r="Z160" s="1267"/>
      <c r="AA160" s="1267"/>
      <c r="AB160" s="1267"/>
      <c r="AC160" s="1267"/>
      <c r="AD160" s="1267"/>
      <c r="AE160" s="1267"/>
      <c r="AF160" s="1267"/>
      <c r="AG160" s="1267"/>
      <c r="AH160" s="1267"/>
      <c r="AI160" s="1267"/>
      <c r="AJ160" s="1267"/>
      <c r="AK160" s="1267"/>
      <c r="AL160" s="1844"/>
      <c r="AM160" s="1844"/>
      <c r="AN160" s="1267"/>
      <c r="AO160" s="1267"/>
      <c r="AP160" s="1267"/>
      <c r="AQ160" s="1267"/>
    </row>
    <row s="1853" customFormat="1" customHeight="1" ht="17.25">
      <c r="A161" s="1840"/>
      <c r="C161" s="1845"/>
      <c r="D161" s="1830"/>
      <c r="E161" s="1847"/>
      <c r="F161" s="1784"/>
      <c r="G161" s="1848"/>
      <c r="H161" s="2529"/>
      <c r="I161" s="2529"/>
      <c r="J161" s="2501"/>
      <c r="K161" s="2186"/>
      <c r="L161" s="2108"/>
      <c r="M161" s="2108"/>
      <c r="N161" s="2504"/>
      <c r="O161" s="2186"/>
      <c r="P161" s="2108"/>
      <c r="Q161" s="2108"/>
      <c r="R161" s="2502"/>
      <c r="S161" s="2107"/>
      <c r="T161" s="317"/>
      <c r="U161" s="318"/>
      <c r="V161" s="318" t="s">
        <v>416</v>
      </c>
      <c r="W161" s="319"/>
      <c r="Y161" s="1259"/>
      <c r="Z161" s="1259"/>
      <c r="AA161" s="1259"/>
      <c r="AB161" s="1259"/>
      <c r="AC161" s="1259"/>
      <c r="AD161" s="1259"/>
      <c r="AE161" s="1259"/>
      <c r="AF161" s="1259"/>
      <c r="AG161" s="1259"/>
      <c r="AH161" s="1259"/>
      <c r="AI161" s="1259"/>
      <c r="AJ161" s="1259"/>
      <c r="AK161" s="1259"/>
    </row>
    <row s="1853" customFormat="1" customHeight="1" ht="17.25">
      <c r="A162" s="1840"/>
      <c r="C162" s="1845"/>
      <c r="D162" s="1830"/>
      <c r="E162" s="1847"/>
      <c r="F162" s="1784"/>
      <c r="G162" s="1848"/>
      <c r="H162" s="2503"/>
      <c r="I162" s="2503"/>
      <c r="J162" s="2533"/>
      <c r="K162" s="2186"/>
      <c r="L162" s="2503"/>
      <c r="M162" s="2503"/>
      <c r="N162" s="2505"/>
      <c r="O162" s="2112"/>
      <c r="P162" s="317"/>
      <c r="Q162" s="318"/>
      <c r="R162" s="318" t="s">
        <v>417</v>
      </c>
      <c r="S162" s="1846"/>
      <c r="T162" s="1846"/>
      <c r="U162" s="1846"/>
      <c r="V162" s="1846"/>
      <c r="W162" s="319"/>
      <c r="Y162" s="1259"/>
      <c r="Z162" s="1259"/>
      <c r="AA162" s="1259"/>
      <c r="AB162" s="1259"/>
      <c r="AC162" s="1259"/>
      <c r="AD162" s="1259"/>
      <c r="AE162" s="1259"/>
      <c r="AF162" s="1259"/>
      <c r="AG162" s="1259"/>
      <c r="AH162" s="1259"/>
      <c r="AI162" s="1259"/>
      <c r="AJ162" s="1259"/>
      <c r="AK162" s="1259"/>
    </row>
    <row s="1853" customFormat="1" customHeight="1" ht="17.25">
      <c r="A163" s="1840"/>
      <c r="C163" s="1845"/>
      <c r="D163" s="1830"/>
      <c r="E163" s="1847"/>
      <c r="F163" s="1784"/>
      <c r="G163" s="1848"/>
      <c r="H163" s="2503"/>
      <c r="I163" s="2503"/>
      <c r="J163" s="2533"/>
      <c r="K163" s="2112"/>
      <c r="L163" s="317"/>
      <c r="M163" s="318"/>
      <c r="N163" s="318" t="s">
        <v>418</v>
      </c>
      <c r="O163" s="318"/>
      <c r="P163" s="318"/>
      <c r="Q163" s="318"/>
      <c r="R163" s="318"/>
      <c r="S163" s="1846"/>
      <c r="T163" s="1846"/>
      <c r="U163" s="1846"/>
      <c r="V163" s="1846"/>
      <c r="W163" s="319"/>
      <c r="Y163" s="1259"/>
      <c r="Z163" s="1259"/>
      <c r="AA163" s="1259"/>
      <c r="AB163" s="1259"/>
      <c r="AC163" s="1259"/>
      <c r="AD163" s="1259"/>
      <c r="AE163" s="1259"/>
      <c r="AF163" s="1259"/>
      <c r="AG163" s="1259"/>
      <c r="AH163" s="1259"/>
      <c r="AI163" s="1259"/>
      <c r="AJ163" s="1259"/>
      <c r="AK163" s="1259"/>
    </row>
    <row customHeight="1" ht="17.25">
      <c r="G164" s="1839"/>
      <c r="H164" s="1839"/>
      <c r="I164" s="1839"/>
      <c r="M164" s="1835"/>
    </row>
    <row s="1853" customFormat="1" customHeight="1" ht="17.25">
      <c r="A165" s="1840"/>
      <c r="C165" s="1842"/>
      <c r="D165" s="1830"/>
      <c r="E165" s="1847"/>
      <c r="F165" s="1784"/>
      <c r="G165" s="1848"/>
      <c r="H165" s="1830"/>
      <c r="I165" s="1830"/>
      <c r="J165" s="1849"/>
      <c r="K165" s="1760"/>
      <c r="L165" s="2108"/>
      <c r="M165" s="2108" t="s">
        <v>109</v>
      </c>
      <c r="N165" s="2504" t="str">
        <f>IF(Z165="","",INDEX(TERRITORY_MR_LIST,MATCH(Z165,TERRITORY_LIST_ID,0)))</f>
        <v/>
      </c>
      <c r="O165" s="2185" t="s">
        <v>66</v>
      </c>
      <c r="P165" s="2108"/>
      <c r="Q165" s="2108" t="s">
        <v>109</v>
      </c>
      <c r="R165" s="2502" t="s">
        <v>22</v>
      </c>
      <c r="S165" s="2107" t="s">
        <v>66</v>
      </c>
      <c r="T165" s="1811"/>
      <c r="U165" s="1811" t="s">
        <v>109</v>
      </c>
      <c r="V165" s="1843" t="s">
        <v>22</v>
      </c>
      <c r="W165" s="1801"/>
      <c r="Y165" s="1267"/>
      <c r="Z165" s="1267"/>
      <c r="AA165" s="1267"/>
      <c r="AB165" s="1267"/>
      <c r="AC165" s="1267"/>
      <c r="AD165" s="1267"/>
      <c r="AE165" s="1267"/>
      <c r="AF165" s="1267"/>
      <c r="AG165" s="1267"/>
      <c r="AH165" s="1267"/>
      <c r="AI165" s="1267"/>
      <c r="AJ165" s="1267"/>
      <c r="AK165" s="1267"/>
      <c r="AL165" s="1844"/>
      <c r="AM165" s="1844"/>
      <c r="AN165" s="1267"/>
      <c r="AO165" s="1267"/>
      <c r="AP165" s="1267"/>
      <c r="AQ165" s="1267"/>
    </row>
    <row s="1853" customFormat="1" customHeight="1" ht="17.25">
      <c r="A166" s="1840"/>
      <c r="C166" s="1845"/>
      <c r="D166" s="1830"/>
      <c r="E166" s="1847"/>
      <c r="F166" s="1784"/>
      <c r="G166" s="1848"/>
      <c r="H166" s="1830"/>
      <c r="I166" s="1830"/>
      <c r="J166" s="1849"/>
      <c r="K166" s="1760"/>
      <c r="L166" s="2108"/>
      <c r="M166" s="2108"/>
      <c r="N166" s="2504"/>
      <c r="O166" s="2186"/>
      <c r="P166" s="2108"/>
      <c r="Q166" s="2108"/>
      <c r="R166" s="2502"/>
      <c r="S166" s="2107"/>
      <c r="T166" s="317"/>
      <c r="U166" s="318"/>
      <c r="V166" s="318" t="s">
        <v>416</v>
      </c>
      <c r="W166" s="319"/>
      <c r="Y166" s="1259"/>
      <c r="Z166" s="1259"/>
      <c r="AA166" s="1259"/>
      <c r="AB166" s="1259"/>
      <c r="AC166" s="1259"/>
      <c r="AD166" s="1259"/>
      <c r="AE166" s="1259"/>
      <c r="AF166" s="1259"/>
      <c r="AG166" s="1259"/>
      <c r="AH166" s="1259"/>
      <c r="AI166" s="1259"/>
      <c r="AJ166" s="1259"/>
      <c r="AK166" s="1259"/>
    </row>
    <row s="1853" customFormat="1" customHeight="1" ht="17.25">
      <c r="A167" s="1840"/>
      <c r="C167" s="1845"/>
      <c r="D167" s="1830"/>
      <c r="E167" s="1847"/>
      <c r="F167" s="1784"/>
      <c r="G167" s="1848"/>
      <c r="H167" s="1830"/>
      <c r="I167" s="1830"/>
      <c r="J167" s="1849"/>
      <c r="K167" s="1760"/>
      <c r="L167" s="2503"/>
      <c r="M167" s="2503"/>
      <c r="N167" s="2505"/>
      <c r="O167" s="2112"/>
      <c r="P167" s="317"/>
      <c r="Q167" s="318"/>
      <c r="R167" s="318" t="s">
        <v>417</v>
      </c>
      <c r="S167" s="1846"/>
      <c r="T167" s="1846"/>
      <c r="U167" s="1846"/>
      <c r="V167" s="1846"/>
      <c r="W167" s="319"/>
      <c r="Y167" s="1259"/>
      <c r="Z167" s="1259"/>
      <c r="AA167" s="1259"/>
      <c r="AB167" s="1259"/>
      <c r="AC167" s="1259"/>
      <c r="AD167" s="1259"/>
      <c r="AE167" s="1259"/>
      <c r="AF167" s="1259"/>
      <c r="AG167" s="1259"/>
      <c r="AH167" s="1259"/>
      <c r="AI167" s="1259"/>
      <c r="AJ167" s="1259"/>
      <c r="AK167" s="1259"/>
    </row>
    <row customHeight="1" ht="17.25">
      <c r="G168" s="1839"/>
      <c r="H168" s="1839"/>
      <c r="I168" s="1839"/>
      <c r="M168" s="1835"/>
    </row>
    <row s="1853" customFormat="1" customHeight="1" ht="17.25">
      <c r="A169" s="1840"/>
      <c r="C169" s="1842"/>
      <c r="D169" s="1830"/>
      <c r="E169" s="1847"/>
      <c r="F169" s="1784"/>
      <c r="G169" s="1848"/>
      <c r="H169" s="1830"/>
      <c r="I169" s="1830"/>
      <c r="J169" s="1849"/>
      <c r="K169" s="1760"/>
      <c r="L169" s="1756"/>
      <c r="M169" s="1756"/>
      <c r="N169" s="2048"/>
      <c r="O169" s="1787"/>
      <c r="P169" s="2108"/>
      <c r="Q169" s="2108" t="s">
        <v>109</v>
      </c>
      <c r="R169" s="2502" t="s">
        <v>22</v>
      </c>
      <c r="S169" s="2107" t="s">
        <v>66</v>
      </c>
      <c r="T169" s="1811"/>
      <c r="U169" s="1811" t="s">
        <v>109</v>
      </c>
      <c r="V169" s="1843" t="s">
        <v>22</v>
      </c>
      <c r="W169" s="1801"/>
      <c r="Y169" s="1267"/>
      <c r="Z169" s="1267"/>
      <c r="AA169" s="1267"/>
      <c r="AB169" s="1267"/>
      <c r="AC169" s="1267"/>
      <c r="AD169" s="1267"/>
      <c r="AE169" s="1267"/>
      <c r="AF169" s="1267"/>
      <c r="AG169" s="1267"/>
      <c r="AH169" s="1267"/>
      <c r="AI169" s="1267"/>
      <c r="AJ169" s="1267"/>
      <c r="AK169" s="1267"/>
      <c r="AL169" s="1844"/>
      <c r="AM169" s="1844"/>
      <c r="AN169" s="1267"/>
      <c r="AO169" s="1267"/>
      <c r="AP169" s="1267"/>
      <c r="AQ169" s="1267"/>
    </row>
    <row s="1853" customFormat="1" customHeight="1" ht="17.25">
      <c r="A170" s="1840"/>
      <c r="C170" s="1845"/>
      <c r="D170" s="1830"/>
      <c r="E170" s="1847"/>
      <c r="F170" s="1784"/>
      <c r="G170" s="1848"/>
      <c r="H170" s="1830"/>
      <c r="I170" s="1830"/>
      <c r="J170" s="1849"/>
      <c r="K170" s="1760"/>
      <c r="L170" s="1756"/>
      <c r="M170" s="1756"/>
      <c r="N170" s="2048"/>
      <c r="O170" s="1787"/>
      <c r="P170" s="2108"/>
      <c r="Q170" s="2108"/>
      <c r="R170" s="2502"/>
      <c r="S170" s="2107"/>
      <c r="T170" s="317"/>
      <c r="U170" s="318"/>
      <c r="V170" s="318" t="s">
        <v>416</v>
      </c>
      <c r="W170" s="319"/>
      <c r="Y170" s="1259"/>
      <c r="Z170" s="1259"/>
      <c r="AA170" s="1259"/>
      <c r="AB170" s="1259"/>
      <c r="AC170" s="1259"/>
      <c r="AD170" s="1259"/>
      <c r="AE170" s="1259"/>
      <c r="AF170" s="1259"/>
      <c r="AG170" s="1259"/>
      <c r="AH170" s="1259"/>
      <c r="AI170" s="1259"/>
      <c r="AJ170" s="1259"/>
      <c r="AK170" s="1259"/>
    </row>
    <row customHeight="1" ht="17.25">
      <c r="G171" s="1839"/>
      <c r="H171" s="1839"/>
      <c r="I171" s="1839"/>
      <c r="M171" s="1835"/>
    </row>
    <row s="1853" customFormat="1" customHeight="1" ht="17.25">
      <c r="A172" s="1840"/>
      <c r="C172" s="1842"/>
      <c r="D172" s="1830"/>
      <c r="E172" s="1847"/>
      <c r="F172" s="1784"/>
      <c r="G172" s="1848"/>
      <c r="H172" s="1756"/>
      <c r="I172" s="1756"/>
      <c r="J172" s="1757"/>
      <c r="K172" s="1848"/>
      <c r="L172" s="1756"/>
      <c r="M172" s="1756"/>
      <c r="N172" s="1848"/>
      <c r="O172" s="1848"/>
      <c r="P172" s="1756"/>
      <c r="Q172" s="1756"/>
      <c r="R172" s="1758"/>
      <c r="S172" s="1848"/>
      <c r="T172" s="1811"/>
      <c r="U172" s="1811" t="s">
        <v>109</v>
      </c>
      <c r="V172" s="1843" t="s">
        <v>22</v>
      </c>
      <c r="W172" s="1801"/>
      <c r="Y172" s="1267"/>
      <c r="Z172" s="1267"/>
      <c r="AA172" s="1267"/>
      <c r="AB172" s="1267"/>
      <c r="AC172" s="1267"/>
      <c r="AD172" s="1267"/>
      <c r="AE172" s="1267"/>
      <c r="AF172" s="1267"/>
      <c r="AG172" s="1267"/>
      <c r="AH172" s="1267"/>
      <c r="AI172" s="1267"/>
      <c r="AJ172" s="1267"/>
      <c r="AK172" s="1267"/>
      <c r="AL172" s="1844"/>
      <c r="AM172" s="1844"/>
      <c r="AN172" s="1267"/>
      <c r="AO172" s="1267"/>
      <c r="AP172" s="1267"/>
      <c r="AQ172" s="1267"/>
    </row>
    <row r="174" s="1815" customFormat="1" customHeight="1" ht="17.25">
      <c r="A174" s="1815" t="s">
        <v>1938</v>
      </c>
    </row>
    <row customHeight="1" ht="17.25">
      <c r="G175" s="1839"/>
      <c r="H175" s="1839"/>
      <c r="I175" s="1839"/>
      <c r="M175" s="1835"/>
    </row>
    <row s="1853" customFormat="1" customHeight="1" ht="17.25">
      <c r="A176" s="1840"/>
      <c r="C176" s="1842"/>
      <c r="D176" s="2529"/>
      <c r="E176" s="2143"/>
      <c r="F176" s="2145"/>
      <c r="G176" s="2531"/>
      <c r="H176" s="2529"/>
      <c r="I176" s="2529">
        <v>1</v>
      </c>
      <c r="J176" s="2501"/>
      <c r="K176" s="2185" t="s">
        <v>66</v>
      </c>
      <c r="L176" s="2108"/>
      <c r="M176" s="2108" t="s">
        <v>109</v>
      </c>
      <c r="N176" s="2504" t="str">
        <f>IF(Z176="","",INDEX(TERRITORY_MR_LIST,MATCH(Z176,TERRITORY_LIST_ID,0)))</f>
        <v/>
      </c>
      <c r="O176" s="2185" t="s">
        <v>66</v>
      </c>
      <c r="P176" s="2108"/>
      <c r="Q176" s="2108" t="s">
        <v>109</v>
      </c>
      <c r="R176" s="2502" t="s">
        <v>22</v>
      </c>
      <c r="S176" s="2406" t="s">
        <v>19</v>
      </c>
      <c r="T176" s="1802"/>
      <c r="U176" s="1802" t="s">
        <v>109</v>
      </c>
      <c r="V176" s="1434"/>
      <c r="W176" s="2501"/>
      <c r="Y176" s="1267"/>
      <c r="Z176" s="1267"/>
      <c r="AA176" s="1267"/>
      <c r="AB176" s="1267"/>
      <c r="AC176" s="1267"/>
      <c r="AD176" s="1267"/>
      <c r="AE176" s="1267"/>
      <c r="AF176" s="1267"/>
      <c r="AG176" s="1267"/>
      <c r="AH176" s="1267"/>
      <c r="AI176" s="1267"/>
      <c r="AJ176" s="1267"/>
      <c r="AK176" s="1267"/>
      <c r="AL176" s="1844"/>
      <c r="AM176" s="1844"/>
      <c r="AN176" s="1267"/>
      <c r="AO176" s="1267"/>
      <c r="AP176" s="1267"/>
      <c r="AQ176" s="1267"/>
    </row>
    <row s="1853" customFormat="1" customHeight="1" ht="17.25">
      <c r="A177" s="1840"/>
      <c r="C177" s="1845"/>
      <c r="D177" s="2529"/>
      <c r="E177" s="2143"/>
      <c r="F177" s="2146"/>
      <c r="G177" s="2531"/>
      <c r="H177" s="2529"/>
      <c r="I177" s="2529"/>
      <c r="J177" s="2501"/>
      <c r="K177" s="2186"/>
      <c r="L177" s="2108"/>
      <c r="M177" s="2108"/>
      <c r="N177" s="2504"/>
      <c r="O177" s="2186"/>
      <c r="P177" s="2108"/>
      <c r="Q177" s="2108"/>
      <c r="R177" s="2502"/>
      <c r="S177" s="2406"/>
      <c r="T177" s="1435"/>
      <c r="U177" s="1436"/>
      <c r="V177" s="1436"/>
      <c r="W177" s="2501"/>
      <c r="Y177" s="1259"/>
      <c r="Z177" s="1259"/>
      <c r="AA177" s="1259"/>
      <c r="AB177" s="1259"/>
      <c r="AC177" s="1259"/>
      <c r="AD177" s="1259"/>
      <c r="AE177" s="1259"/>
      <c r="AF177" s="1259"/>
      <c r="AG177" s="1259"/>
      <c r="AH177" s="1259"/>
      <c r="AI177" s="1259"/>
      <c r="AJ177" s="1259"/>
      <c r="AK177" s="1259"/>
    </row>
    <row s="1853" customFormat="1" customHeight="1" ht="17.25">
      <c r="A178" s="1840"/>
      <c r="C178" s="1845"/>
      <c r="D178" s="2503"/>
      <c r="E178" s="2530"/>
      <c r="F178" s="2146"/>
      <c r="G178" s="2532"/>
      <c r="H178" s="2503"/>
      <c r="I178" s="2503"/>
      <c r="J178" s="2533"/>
      <c r="K178" s="2186"/>
      <c r="L178" s="2503"/>
      <c r="M178" s="2503"/>
      <c r="N178" s="2505"/>
      <c r="O178" s="2112"/>
      <c r="P178" s="317"/>
      <c r="Q178" s="318"/>
      <c r="R178" s="318" t="s">
        <v>417</v>
      </c>
      <c r="S178" s="1846"/>
      <c r="T178" s="1846"/>
      <c r="U178" s="1846"/>
      <c r="V178" s="1846"/>
      <c r="W178" s="1433"/>
      <c r="Y178" s="1259"/>
      <c r="Z178" s="1259"/>
      <c r="AA178" s="1259"/>
      <c r="AB178" s="1259"/>
      <c r="AC178" s="1259"/>
      <c r="AD178" s="1259"/>
      <c r="AE178" s="1259"/>
      <c r="AF178" s="1259"/>
      <c r="AG178" s="1259"/>
      <c r="AH178" s="1259"/>
      <c r="AI178" s="1259"/>
      <c r="AJ178" s="1259"/>
      <c r="AK178" s="1259"/>
    </row>
    <row s="1853" customFormat="1" customHeight="1" ht="17.25">
      <c r="A179" s="1840"/>
      <c r="C179" s="1845"/>
      <c r="D179" s="2503"/>
      <c r="E179" s="2530"/>
      <c r="F179" s="2146"/>
      <c r="G179" s="2532"/>
      <c r="H179" s="2503"/>
      <c r="I179" s="2503"/>
      <c r="J179" s="2533"/>
      <c r="K179" s="2112"/>
      <c r="L179" s="317"/>
      <c r="M179" s="318"/>
      <c r="N179" s="318" t="s">
        <v>418</v>
      </c>
      <c r="O179" s="318"/>
      <c r="P179" s="318"/>
      <c r="Q179" s="318"/>
      <c r="R179" s="318"/>
      <c r="S179" s="1846"/>
      <c r="T179" s="1846"/>
      <c r="U179" s="1846"/>
      <c r="V179" s="1846"/>
      <c r="W179" s="319"/>
      <c r="Y179" s="1259"/>
      <c r="Z179" s="1259"/>
      <c r="AA179" s="1259"/>
      <c r="AB179" s="1259"/>
      <c r="AC179" s="1259"/>
      <c r="AD179" s="1259"/>
      <c r="AE179" s="1259"/>
      <c r="AF179" s="1259"/>
      <c r="AG179" s="1259"/>
      <c r="AH179" s="1259"/>
      <c r="AI179" s="1259"/>
      <c r="AJ179" s="1259"/>
      <c r="AK179" s="1259"/>
    </row>
    <row s="1853" customFormat="1" customHeight="1" ht="17.25">
      <c r="A180" s="1840"/>
      <c r="C180" s="1845"/>
      <c r="D180" s="2503"/>
      <c r="E180" s="2530"/>
      <c r="F180" s="2147"/>
      <c r="G180" s="2532"/>
      <c r="H180" s="317"/>
      <c r="I180" s="318"/>
      <c r="J180" s="318" t="s">
        <v>450</v>
      </c>
      <c r="K180" s="318"/>
      <c r="L180" s="318"/>
      <c r="M180" s="318"/>
      <c r="N180" s="318"/>
      <c r="O180" s="318"/>
      <c r="P180" s="318"/>
      <c r="Q180" s="318"/>
      <c r="R180" s="318"/>
      <c r="S180" s="1846"/>
      <c r="T180" s="1846"/>
      <c r="U180" s="1846"/>
      <c r="V180" s="1846"/>
      <c r="W180" s="319"/>
      <c r="Y180" s="1259"/>
      <c r="Z180" s="1259"/>
      <c r="AA180" s="1259"/>
      <c r="AB180" s="1259"/>
      <c r="AC180" s="1259"/>
      <c r="AD180" s="1259"/>
      <c r="AE180" s="1259"/>
      <c r="AF180" s="1259"/>
      <c r="AG180" s="1259"/>
      <c r="AH180" s="1259"/>
      <c r="AI180" s="1259"/>
      <c r="AJ180" s="1259"/>
      <c r="AK180" s="1259"/>
    </row>
    <row customHeight="1" ht="17.25">
      <c r="A181" s="1850"/>
    </row>
    <row s="1853" customFormat="1" customHeight="1" ht="17.25">
      <c r="A182" s="1840"/>
      <c r="C182" s="1842"/>
      <c r="D182" s="1830"/>
      <c r="E182" s="1847"/>
      <c r="F182" s="1784"/>
      <c r="G182" s="1848"/>
      <c r="H182" s="2529"/>
      <c r="I182" s="2529">
        <v>1</v>
      </c>
      <c r="J182" s="2501"/>
      <c r="K182" s="2185" t="s">
        <v>66</v>
      </c>
      <c r="L182" s="2108"/>
      <c r="M182" s="2108" t="s">
        <v>109</v>
      </c>
      <c r="N182" s="2504" t="str">
        <f>IF(Z182="","",INDEX(TERRITORY_MR_LIST,MATCH(Z182,TERRITORY_LIST_ID,0)))</f>
        <v/>
      </c>
      <c r="O182" s="2185" t="s">
        <v>66</v>
      </c>
      <c r="P182" s="2108"/>
      <c r="Q182" s="2108" t="s">
        <v>109</v>
      </c>
      <c r="R182" s="2502" t="s">
        <v>22</v>
      </c>
      <c r="S182" s="2406" t="s">
        <v>19</v>
      </c>
      <c r="T182" s="1802"/>
      <c r="U182" s="1802" t="s">
        <v>109</v>
      </c>
      <c r="V182" s="1434"/>
      <c r="W182" s="2501"/>
      <c r="Y182" s="1267"/>
      <c r="Z182" s="1267"/>
      <c r="AA182" s="1267"/>
      <c r="AB182" s="1267"/>
      <c r="AC182" s="1267"/>
      <c r="AD182" s="1267"/>
      <c r="AE182" s="1267"/>
      <c r="AF182" s="1267"/>
      <c r="AG182" s="1267"/>
      <c r="AH182" s="1267"/>
      <c r="AI182" s="1267"/>
      <c r="AJ182" s="1267"/>
      <c r="AK182" s="1267"/>
      <c r="AL182" s="1844"/>
      <c r="AM182" s="1844"/>
      <c r="AN182" s="1267"/>
      <c r="AO182" s="1267"/>
      <c r="AP182" s="1267"/>
      <c r="AQ182" s="1267"/>
    </row>
    <row s="1853" customFormat="1" customHeight="1" ht="17.25">
      <c r="A183" s="1840"/>
      <c r="C183" s="1845"/>
      <c r="D183" s="1830"/>
      <c r="E183" s="1847"/>
      <c r="F183" s="1784"/>
      <c r="G183" s="1848"/>
      <c r="H183" s="2529"/>
      <c r="I183" s="2529"/>
      <c r="J183" s="2501"/>
      <c r="K183" s="2186"/>
      <c r="L183" s="2108"/>
      <c r="M183" s="2108"/>
      <c r="N183" s="2504"/>
      <c r="O183" s="2186"/>
      <c r="P183" s="2108"/>
      <c r="Q183" s="2108"/>
      <c r="R183" s="2502"/>
      <c r="S183" s="2406"/>
      <c r="T183" s="1435"/>
      <c r="U183" s="1436"/>
      <c r="V183" s="1436"/>
      <c r="W183" s="2501"/>
      <c r="Y183" s="1259"/>
      <c r="Z183" s="1259"/>
      <c r="AA183" s="1259"/>
      <c r="AB183" s="1259"/>
      <c r="AC183" s="1259"/>
      <c r="AD183" s="1259"/>
      <c r="AE183" s="1259"/>
      <c r="AF183" s="1259"/>
      <c r="AG183" s="1259"/>
      <c r="AH183" s="1259"/>
      <c r="AI183" s="1259"/>
      <c r="AJ183" s="1259"/>
      <c r="AK183" s="1259"/>
    </row>
    <row s="1853" customFormat="1" customHeight="1" ht="17.25">
      <c r="A184" s="1840"/>
      <c r="C184" s="1845"/>
      <c r="D184" s="1830"/>
      <c r="E184" s="1847"/>
      <c r="F184" s="1784"/>
      <c r="G184" s="1848"/>
      <c r="H184" s="2503"/>
      <c r="I184" s="2503"/>
      <c r="J184" s="2533"/>
      <c r="K184" s="2186"/>
      <c r="L184" s="2503"/>
      <c r="M184" s="2503"/>
      <c r="N184" s="2505"/>
      <c r="O184" s="2112"/>
      <c r="P184" s="317"/>
      <c r="Q184" s="318"/>
      <c r="R184" s="318" t="s">
        <v>417</v>
      </c>
      <c r="S184" s="1846"/>
      <c r="T184" s="1846"/>
      <c r="U184" s="1846"/>
      <c r="V184" s="1846"/>
      <c r="W184" s="1433"/>
      <c r="Y184" s="1259"/>
      <c r="Z184" s="1259"/>
      <c r="AA184" s="1259"/>
      <c r="AB184" s="1259"/>
      <c r="AC184" s="1259"/>
      <c r="AD184" s="1259"/>
      <c r="AE184" s="1259"/>
      <c r="AF184" s="1259"/>
      <c r="AG184" s="1259"/>
      <c r="AH184" s="1259"/>
      <c r="AI184" s="1259"/>
      <c r="AJ184" s="1259"/>
      <c r="AK184" s="1259"/>
    </row>
    <row s="1853" customFormat="1" customHeight="1" ht="17.25">
      <c r="A185" s="1840"/>
      <c r="C185" s="1845"/>
      <c r="D185" s="1830"/>
      <c r="E185" s="1847"/>
      <c r="F185" s="1784"/>
      <c r="G185" s="1848"/>
      <c r="H185" s="2503"/>
      <c r="I185" s="2503"/>
      <c r="J185" s="2533"/>
      <c r="K185" s="2112"/>
      <c r="L185" s="317"/>
      <c r="M185" s="318"/>
      <c r="N185" s="318" t="s">
        <v>418</v>
      </c>
      <c r="O185" s="318"/>
      <c r="P185" s="318"/>
      <c r="Q185" s="318"/>
      <c r="R185" s="318"/>
      <c r="S185" s="1846"/>
      <c r="T185" s="1846"/>
      <c r="U185" s="1846"/>
      <c r="V185" s="1846"/>
      <c r="W185" s="319"/>
      <c r="Y185" s="1259"/>
      <c r="Z185" s="1259"/>
      <c r="AA185" s="1259"/>
      <c r="AB185" s="1259"/>
      <c r="AC185" s="1259"/>
      <c r="AD185" s="1259"/>
      <c r="AE185" s="1259"/>
      <c r="AF185" s="1259"/>
      <c r="AG185" s="1259"/>
      <c r="AH185" s="1259"/>
      <c r="AI185" s="1259"/>
      <c r="AJ185" s="1259"/>
      <c r="AK185" s="1259"/>
    </row>
    <row customHeight="1" ht="17.25">
      <c r="A186" s="1850"/>
    </row>
    <row s="1853" customFormat="1" customHeight="1" ht="17.25">
      <c r="A187" s="1840"/>
      <c r="C187" s="1842"/>
      <c r="D187" s="1830"/>
      <c r="E187" s="1847"/>
      <c r="F187" s="1784"/>
      <c r="G187" s="1848"/>
      <c r="H187" s="1830"/>
      <c r="I187" s="1830"/>
      <c r="J187" s="1851"/>
      <c r="K187" s="1848"/>
      <c r="L187" s="2108"/>
      <c r="M187" s="2108" t="s">
        <v>109</v>
      </c>
      <c r="N187" s="2504" t="str">
        <f>IF(Z187="","",INDEX(TERRITORY_MR_LIST,MATCH(Z187,TERRITORY_LIST_ID,0)))</f>
        <v/>
      </c>
      <c r="O187" s="2185" t="s">
        <v>66</v>
      </c>
      <c r="P187" s="2108"/>
      <c r="Q187" s="2108" t="s">
        <v>109</v>
      </c>
      <c r="R187" s="2502" t="s">
        <v>22</v>
      </c>
      <c r="S187" s="2406" t="s">
        <v>19</v>
      </c>
      <c r="T187" s="1802"/>
      <c r="U187" s="1802" t="s">
        <v>109</v>
      </c>
      <c r="V187" s="1434"/>
      <c r="W187" s="2501"/>
      <c r="Y187" s="1267"/>
      <c r="Z187" s="1267"/>
      <c r="AA187" s="1267"/>
      <c r="AB187" s="1267"/>
      <c r="AC187" s="1267"/>
      <c r="AD187" s="1267"/>
      <c r="AE187" s="1267"/>
      <c r="AF187" s="1267"/>
      <c r="AG187" s="1267"/>
      <c r="AH187" s="1267"/>
      <c r="AI187" s="1267"/>
      <c r="AJ187" s="1267"/>
      <c r="AK187" s="1267"/>
      <c r="AL187" s="1844"/>
      <c r="AM187" s="1844"/>
      <c r="AN187" s="1267"/>
      <c r="AO187" s="1267"/>
      <c r="AP187" s="1267"/>
      <c r="AQ187" s="1267"/>
    </row>
    <row s="1853" customFormat="1" customHeight="1" ht="17.25">
      <c r="A188" s="1840"/>
      <c r="C188" s="1845"/>
      <c r="D188" s="1830"/>
      <c r="E188" s="1847"/>
      <c r="F188" s="1784"/>
      <c r="G188" s="1848"/>
      <c r="H188" s="1830"/>
      <c r="I188" s="1830"/>
      <c r="J188" s="1851"/>
      <c r="K188" s="1848"/>
      <c r="L188" s="2108"/>
      <c r="M188" s="2108"/>
      <c r="N188" s="2504"/>
      <c r="O188" s="2186"/>
      <c r="P188" s="2108"/>
      <c r="Q188" s="2108"/>
      <c r="R188" s="2502"/>
      <c r="S188" s="2406"/>
      <c r="T188" s="1435"/>
      <c r="U188" s="1436"/>
      <c r="V188" s="1436"/>
      <c r="W188" s="2501"/>
      <c r="Y188" s="1259"/>
      <c r="Z188" s="1259"/>
      <c r="AA188" s="1259"/>
      <c r="AB188" s="1259"/>
      <c r="AC188" s="1259"/>
      <c r="AD188" s="1259"/>
      <c r="AE188" s="1259"/>
      <c r="AF188" s="1259"/>
      <c r="AG188" s="1259"/>
      <c r="AH188" s="1259"/>
      <c r="AI188" s="1259"/>
      <c r="AJ188" s="1259"/>
      <c r="AK188" s="1259"/>
    </row>
    <row s="1853" customFormat="1" customHeight="1" ht="17.25">
      <c r="A189" s="1840"/>
      <c r="C189" s="1845"/>
      <c r="D189" s="1830"/>
      <c r="E189" s="1847"/>
      <c r="F189" s="1784"/>
      <c r="G189" s="1848"/>
      <c r="H189" s="1830"/>
      <c r="I189" s="1830"/>
      <c r="J189" s="1851"/>
      <c r="K189" s="1848"/>
      <c r="L189" s="2503"/>
      <c r="M189" s="2503"/>
      <c r="N189" s="2505"/>
      <c r="O189" s="2112"/>
      <c r="P189" s="317"/>
      <c r="Q189" s="318"/>
      <c r="R189" s="318" t="s">
        <v>417</v>
      </c>
      <c r="S189" s="1846"/>
      <c r="T189" s="1846"/>
      <c r="U189" s="1846"/>
      <c r="V189" s="1846"/>
      <c r="W189" s="1433"/>
      <c r="Y189" s="1259"/>
      <c r="Z189" s="1259"/>
      <c r="AA189" s="1259"/>
      <c r="AB189" s="1259"/>
      <c r="AC189" s="1259"/>
      <c r="AD189" s="1259"/>
      <c r="AE189" s="1259"/>
      <c r="AF189" s="1259"/>
      <c r="AG189" s="1259"/>
      <c r="AH189" s="1259"/>
      <c r="AI189" s="1259"/>
      <c r="AJ189" s="1259"/>
      <c r="AK189" s="1259"/>
    </row>
    <row customHeight="1" ht="17.25">
      <c r="A190" s="1850"/>
    </row>
    <row s="1853" customFormat="1" customHeight="1" ht="17.25">
      <c r="A191" s="1840"/>
      <c r="C191" s="1842"/>
      <c r="D191" s="1830"/>
      <c r="E191" s="1847"/>
      <c r="F191" s="1784"/>
      <c r="G191" s="1848"/>
      <c r="H191" s="1830"/>
      <c r="I191" s="1830"/>
      <c r="J191" s="1851"/>
      <c r="K191" s="1848"/>
      <c r="L191" s="1830"/>
      <c r="M191" s="1830"/>
      <c r="N191" s="2048"/>
      <c r="O191" s="1787"/>
      <c r="P191" s="2108"/>
      <c r="Q191" s="2108" t="s">
        <v>109</v>
      </c>
      <c r="R191" s="2502" t="s">
        <v>22</v>
      </c>
      <c r="S191" s="2406" t="s">
        <v>19</v>
      </c>
      <c r="T191" s="1802"/>
      <c r="U191" s="1802" t="s">
        <v>109</v>
      </c>
      <c r="V191" s="1434"/>
      <c r="W191" s="2501"/>
      <c r="Y191" s="1267"/>
      <c r="Z191" s="1267"/>
      <c r="AA191" s="1267"/>
      <c r="AB191" s="1267"/>
      <c r="AC191" s="1267"/>
      <c r="AD191" s="1267"/>
      <c r="AE191" s="1267"/>
      <c r="AF191" s="1267"/>
      <c r="AG191" s="1267"/>
      <c r="AH191" s="1267"/>
      <c r="AI191" s="1267"/>
      <c r="AJ191" s="1267"/>
      <c r="AK191" s="1267"/>
      <c r="AL191" s="1844"/>
      <c r="AM191" s="1844"/>
      <c r="AN191" s="1267"/>
      <c r="AO191" s="1267"/>
      <c r="AP191" s="1267"/>
      <c r="AQ191" s="1267"/>
    </row>
    <row s="1853" customFormat="1" customHeight="1" ht="17.25">
      <c r="A192" s="1840"/>
      <c r="C192" s="1845"/>
      <c r="D192" s="1830"/>
      <c r="E192" s="1847"/>
      <c r="F192" s="1784"/>
      <c r="G192" s="1848"/>
      <c r="H192" s="1830"/>
      <c r="I192" s="1830"/>
      <c r="J192" s="1851"/>
      <c r="K192" s="1848"/>
      <c r="L192" s="1830"/>
      <c r="M192" s="1830"/>
      <c r="N192" s="2048"/>
      <c r="O192" s="1787"/>
      <c r="P192" s="2108"/>
      <c r="Q192" s="2108"/>
      <c r="R192" s="2502"/>
      <c r="S192" s="2406"/>
      <c r="T192" s="1435"/>
      <c r="U192" s="1436"/>
      <c r="V192" s="1436"/>
      <c r="W192" s="2501"/>
      <c r="Y192" s="1259"/>
      <c r="Z192" s="1259"/>
      <c r="AA192" s="1259"/>
      <c r="AB192" s="1259"/>
      <c r="AC192" s="1259"/>
      <c r="AD192" s="1259"/>
      <c r="AE192" s="1259"/>
      <c r="AF192" s="1259"/>
      <c r="AG192" s="1259"/>
      <c r="AH192" s="1259"/>
      <c r="AI192" s="1259"/>
      <c r="AJ192" s="1259"/>
      <c r="AK192" s="1259"/>
    </row>
    <row customHeight="1" ht="17.25">
      <c r="A193" s="1850"/>
    </row>
    <row customHeight="1" ht="16.5">
      <c r="A194" s="1840"/>
      <c r="B194" s="1841"/>
      <c r="C194" s="1845"/>
      <c r="D194" s="2553"/>
      <c r="E194" s="2179"/>
      <c r="F194" s="2179"/>
      <c r="G194" s="2127"/>
      <c r="H194" s="2554"/>
      <c r="I194" s="2567"/>
      <c r="J194" s="2152"/>
      <c r="K194" s="2137"/>
      <c r="L194" s="2137"/>
      <c r="M194" s="2137"/>
      <c r="N194" s="2565"/>
      <c r="O194" s="2137"/>
      <c r="P194" s="2137"/>
      <c r="Q194" s="2137"/>
      <c r="R194" s="2563"/>
      <c r="S194" s="2137"/>
      <c r="T194" s="1783"/>
      <c r="U194" s="1783"/>
      <c r="V194" s="1852"/>
      <c r="W194" s="1296"/>
    </row>
    <row customHeight="1" ht="16.5">
      <c r="A195" s="1840"/>
      <c r="B195" s="1841"/>
      <c r="C195" s="1845"/>
      <c r="D195" s="2553"/>
      <c r="E195" s="2179"/>
      <c r="F195" s="2179"/>
      <c r="G195" s="2127"/>
      <c r="H195" s="2555"/>
      <c r="I195" s="2568"/>
      <c r="J195" s="2153"/>
      <c r="K195" s="2138"/>
      <c r="L195" s="2138"/>
      <c r="M195" s="2138"/>
      <c r="N195" s="2566"/>
      <c r="O195" s="2138"/>
      <c r="P195" s="2138"/>
      <c r="Q195" s="2138"/>
      <c r="R195" s="2564"/>
      <c r="S195" s="2138"/>
      <c r="T195" s="1297"/>
      <c r="U195" s="1297"/>
      <c r="V195" s="1297"/>
      <c r="W195" s="1298"/>
    </row>
    <row customHeight="1" ht="17.25">
      <c r="A196" s="1840"/>
      <c r="B196" s="1841"/>
      <c r="C196" s="1845"/>
      <c r="D196" s="2553"/>
      <c r="E196" s="2179"/>
      <c r="F196" s="2179"/>
      <c r="G196" s="2127"/>
      <c r="H196" s="2555"/>
      <c r="I196" s="2568"/>
      <c r="J196" s="2556"/>
      <c r="K196" s="2138"/>
      <c r="L196" s="2138"/>
      <c r="M196" s="2138"/>
      <c r="N196" s="2564"/>
      <c r="O196" s="2138"/>
      <c r="P196" s="1786"/>
      <c r="Q196" s="1297"/>
      <c r="R196" s="1297"/>
      <c r="S196" s="1853"/>
      <c r="T196" s="1853"/>
      <c r="U196" s="1853"/>
      <c r="V196" s="1853"/>
      <c r="W196" s="1298"/>
    </row>
    <row customHeight="1" ht="17.25">
      <c r="A197" s="1840"/>
      <c r="B197" s="1841"/>
      <c r="C197" s="1845"/>
      <c r="D197" s="2553"/>
      <c r="E197" s="2179"/>
      <c r="F197" s="2179"/>
      <c r="G197" s="2127"/>
      <c r="H197" s="2555"/>
      <c r="I197" s="2568"/>
      <c r="J197" s="2556"/>
      <c r="K197" s="2138"/>
      <c r="L197" s="1297"/>
      <c r="M197" s="1297"/>
      <c r="N197" s="1297"/>
      <c r="O197" s="1297"/>
      <c r="P197" s="1297"/>
      <c r="Q197" s="1297"/>
      <c r="R197" s="1297"/>
      <c r="S197" s="1853"/>
      <c r="T197" s="1853"/>
      <c r="U197" s="1853"/>
      <c r="V197" s="1853"/>
      <c r="W197" s="1298"/>
    </row>
    <row customHeight="1" ht="17.25">
      <c r="A198" s="1840"/>
      <c r="B198" s="1841"/>
      <c r="C198" s="1845"/>
      <c r="D198" s="2553"/>
      <c r="E198" s="2179"/>
      <c r="F198" s="2179"/>
      <c r="G198" s="2127"/>
      <c r="H198" s="1299"/>
      <c r="I198" s="1300"/>
      <c r="J198" s="1300"/>
      <c r="K198" s="1300"/>
      <c r="L198" s="1300"/>
      <c r="M198" s="1300"/>
      <c r="N198" s="1300"/>
      <c r="O198" s="1300"/>
      <c r="P198" s="1300"/>
      <c r="Q198" s="1300"/>
      <c r="R198" s="1300"/>
      <c r="S198" s="1854"/>
      <c r="T198" s="1854"/>
      <c r="U198" s="1854"/>
      <c r="V198" s="1854"/>
      <c r="W198" s="1302"/>
    </row>
    <row r="200" s="1815" customFormat="1" customHeight="1" ht="17.25">
      <c r="A200" s="1815" t="s">
        <v>1939</v>
      </c>
    </row>
    <row customHeight="1" ht="17.25">
      <c r="G201" s="1839"/>
      <c r="H201" s="1839"/>
      <c r="I201" s="1839"/>
      <c r="M201" s="1835"/>
    </row>
    <row s="1850" customFormat="1" customHeight="1" ht="15">
      <c r="D202" s="2523"/>
      <c r="E202" s="2199"/>
      <c r="F202" s="2199"/>
      <c r="G202" s="2185"/>
      <c r="H202" s="1564"/>
      <c r="I202" s="2527">
        <v>1</v>
      </c>
      <c r="J202" s="2501"/>
      <c r="K202" s="1579"/>
      <c r="L202" s="2185" t="s">
        <v>66</v>
      </c>
      <c r="M202" s="2185" t="s">
        <v>66</v>
      </c>
      <c r="N202" s="1564"/>
      <c r="O202" s="2108" t="s">
        <v>109</v>
      </c>
      <c r="P202" s="2517"/>
      <c r="Q202" s="1580"/>
      <c r="R202" s="2185" t="s">
        <v>66</v>
      </c>
      <c r="S202" s="2185" t="s">
        <v>66</v>
      </c>
      <c r="T202" s="1855"/>
      <c r="U202" s="2108" t="s">
        <v>109</v>
      </c>
      <c r="V202" s="2524" t="str">
        <f>IF(AK202="","",INDEX(TERRITORY_MR_LIST,MATCH(AK202,TERRITORY_LIST_ID,0)))</f>
        <v/>
      </c>
      <c r="W202" s="1581"/>
      <c r="X202" s="2185" t="s">
        <v>66</v>
      </c>
      <c r="Y202" s="2185" t="s">
        <v>19</v>
      </c>
      <c r="Z202" s="1564"/>
      <c r="AA202" s="2108" t="s">
        <v>109</v>
      </c>
      <c r="AB202" s="2526"/>
      <c r="AC202" s="1582"/>
      <c r="AD202" s="2185" t="s">
        <v>66</v>
      </c>
      <c r="AE202" s="2185" t="s">
        <v>19</v>
      </c>
      <c r="AF202" s="1562"/>
      <c r="AG202" s="1811" t="s">
        <v>109</v>
      </c>
      <c r="AH202" s="1572"/>
      <c r="AI202" s="1801"/>
    </row>
    <row s="1850" customFormat="1" customHeight="1" ht="15">
      <c r="D203" s="2523"/>
      <c r="E203" s="2199"/>
      <c r="F203" s="2199"/>
      <c r="G203" s="2186"/>
      <c r="H203" s="1564"/>
      <c r="I203" s="2527"/>
      <c r="J203" s="2501"/>
      <c r="K203" s="1563"/>
      <c r="L203" s="2186"/>
      <c r="M203" s="2186"/>
      <c r="N203" s="1564"/>
      <c r="O203" s="2108"/>
      <c r="P203" s="2517"/>
      <c r="Q203" s="1560"/>
      <c r="R203" s="2186"/>
      <c r="S203" s="2186"/>
      <c r="T203" s="1855"/>
      <c r="U203" s="2108"/>
      <c r="V203" s="2525"/>
      <c r="W203" s="1561"/>
      <c r="X203" s="2186"/>
      <c r="Y203" s="2186"/>
      <c r="Z203" s="1564"/>
      <c r="AA203" s="2108"/>
      <c r="AB203" s="2495"/>
      <c r="AC203" s="1565"/>
      <c r="AD203" s="2112"/>
      <c r="AE203" s="2112"/>
      <c r="AF203" s="1566"/>
      <c r="AG203" s="1567"/>
      <c r="AH203" s="2518" t="s">
        <v>1940</v>
      </c>
      <c r="AI203" s="2519"/>
    </row>
    <row s="1850" customFormat="1" customHeight="1" ht="15">
      <c r="D204" s="2523"/>
      <c r="E204" s="2199"/>
      <c r="F204" s="2199"/>
      <c r="G204" s="2186"/>
      <c r="H204" s="1564"/>
      <c r="I204" s="2527"/>
      <c r="J204" s="2501"/>
      <c r="K204" s="1563"/>
      <c r="L204" s="2186"/>
      <c r="M204" s="2186"/>
      <c r="N204" s="1564"/>
      <c r="O204" s="2108"/>
      <c r="P204" s="2517"/>
      <c r="Q204" s="1560"/>
      <c r="R204" s="2186"/>
      <c r="S204" s="2186"/>
      <c r="T204" s="1855"/>
      <c r="U204" s="2108"/>
      <c r="V204" s="2525"/>
      <c r="W204" s="1561"/>
      <c r="X204" s="2186"/>
      <c r="Y204" s="2186"/>
      <c r="Z204" s="1603"/>
      <c r="AA204" s="1569"/>
      <c r="AB204" s="2520" t="s">
        <v>1941</v>
      </c>
      <c r="AC204" s="2520"/>
      <c r="AD204" s="2520"/>
      <c r="AE204" s="2520"/>
      <c r="AF204" s="2520"/>
      <c r="AG204" s="2520"/>
      <c r="AH204" s="2520"/>
      <c r="AI204" s="2521"/>
    </row>
    <row s="1850" customFormat="1" customHeight="1" ht="15">
      <c r="D205" s="2523"/>
      <c r="E205" s="2199"/>
      <c r="F205" s="2199"/>
      <c r="G205" s="2186"/>
      <c r="H205" s="1564"/>
      <c r="I205" s="2527"/>
      <c r="J205" s="2501"/>
      <c r="K205" s="1563"/>
      <c r="L205" s="2186"/>
      <c r="M205" s="2186"/>
      <c r="N205" s="1564"/>
      <c r="O205" s="2108"/>
      <c r="P205" s="2522"/>
      <c r="Q205" s="1560"/>
      <c r="R205" s="2186"/>
      <c r="S205" s="2186"/>
      <c r="T205" s="1856"/>
      <c r="U205" s="1604"/>
      <c r="V205" s="2518" t="s">
        <v>103</v>
      </c>
      <c r="W205" s="2518"/>
      <c r="X205" s="2518"/>
      <c r="Y205" s="2518"/>
      <c r="Z205" s="2518"/>
      <c r="AA205" s="2518"/>
      <c r="AB205" s="2518"/>
      <c r="AC205" s="2518"/>
      <c r="AD205" s="2518"/>
      <c r="AE205" s="2518"/>
      <c r="AF205" s="2518"/>
      <c r="AG205" s="2518"/>
      <c r="AH205" s="2518"/>
      <c r="AI205" s="2519"/>
    </row>
    <row s="1850" customFormat="1" customHeight="1" ht="11.25">
      <c r="D206" s="2523"/>
      <c r="E206" s="2199"/>
      <c r="F206" s="2199"/>
      <c r="G206" s="2186"/>
      <c r="H206" s="1568"/>
      <c r="I206" s="2527"/>
      <c r="J206" s="2528"/>
      <c r="K206" s="1563"/>
      <c r="L206" s="2186"/>
      <c r="M206" s="2186"/>
      <c r="N206" s="1568"/>
      <c r="O206" s="1569"/>
      <c r="P206" s="2518" t="s">
        <v>1942</v>
      </c>
      <c r="Q206" s="2518"/>
      <c r="R206" s="2518"/>
      <c r="S206" s="2518"/>
      <c r="T206" s="2518"/>
      <c r="U206" s="2518"/>
      <c r="V206" s="2518"/>
      <c r="W206" s="2518"/>
      <c r="X206" s="2518"/>
      <c r="Y206" s="2518"/>
      <c r="Z206" s="2518"/>
      <c r="AA206" s="2518"/>
      <c r="AB206" s="2518"/>
      <c r="AC206" s="2518"/>
      <c r="AD206" s="2518"/>
      <c r="AE206" s="2518"/>
      <c r="AF206" s="2518"/>
      <c r="AG206" s="2518"/>
      <c r="AH206" s="2518"/>
      <c r="AI206" s="2519"/>
    </row>
    <row s="1554" customFormat="1" customHeight="1" ht="11.25">
      <c r="D207" s="2523"/>
      <c r="E207" s="2199"/>
      <c r="F207" s="2199"/>
      <c r="G207" s="2112"/>
      <c r="H207" s="1570"/>
      <c r="I207" s="1571"/>
      <c r="J207" s="2518" t="s">
        <v>450</v>
      </c>
      <c r="K207" s="2518"/>
      <c r="L207" s="2518"/>
      <c r="M207" s="2518"/>
      <c r="N207" s="2518"/>
      <c r="O207" s="2518"/>
      <c r="P207" s="2518"/>
      <c r="Q207" s="2518"/>
      <c r="R207" s="2518"/>
      <c r="S207" s="2518"/>
      <c r="T207" s="2518"/>
      <c r="U207" s="2518"/>
      <c r="V207" s="2518"/>
      <c r="W207" s="2518"/>
      <c r="X207" s="2518"/>
      <c r="Y207" s="2518"/>
      <c r="Z207" s="2518"/>
      <c r="AA207" s="2518"/>
      <c r="AB207" s="2518"/>
      <c r="AC207" s="2518"/>
      <c r="AD207" s="2518"/>
      <c r="AE207" s="2518"/>
      <c r="AF207" s="2518"/>
      <c r="AG207" s="2518"/>
      <c r="AH207" s="2518"/>
      <c r="AI207" s="2519"/>
      <c r="BK207" s="1574"/>
    </row>
    <row customHeight="1" ht="17.25">
      <c r="G208" s="1839"/>
      <c r="I208" s="1839"/>
      <c r="J208" s="1839"/>
      <c r="N208" s="1835"/>
    </row>
    <row s="1850" customFormat="1" customHeight="1" ht="15">
      <c r="D209" s="2523"/>
      <c r="E209" s="2199"/>
      <c r="F209" s="2199"/>
      <c r="G209" s="2179"/>
      <c r="H209" s="1599"/>
      <c r="I209" s="2181"/>
      <c r="J209" s="2152"/>
      <c r="K209" s="1785"/>
      <c r="L209" s="2137"/>
      <c r="M209" s="2137"/>
      <c r="N209" s="1584"/>
      <c r="O209" s="2137"/>
      <c r="P209" s="2152"/>
      <c r="Q209" s="1789"/>
      <c r="R209" s="2137"/>
      <c r="S209" s="2137"/>
      <c r="T209" s="1857"/>
      <c r="U209" s="2137"/>
      <c r="V209" s="2152"/>
      <c r="W209" s="1587"/>
      <c r="X209" s="2137"/>
      <c r="Y209" s="2137"/>
      <c r="Z209" s="1584"/>
      <c r="AA209" s="2137"/>
      <c r="AB209" s="2152"/>
      <c r="AC209" s="1588"/>
      <c r="AD209" s="2137"/>
      <c r="AE209" s="2137"/>
      <c r="AF209" s="1783"/>
      <c r="AG209" s="1783"/>
      <c r="AH209" s="1589"/>
      <c r="AI209" s="1296"/>
    </row>
    <row s="1850" customFormat="1" customHeight="1" ht="15">
      <c r="D210" s="2523"/>
      <c r="E210" s="2199"/>
      <c r="F210" s="2199"/>
      <c r="G210" s="2179"/>
      <c r="H210" s="1600"/>
      <c r="I210" s="2182"/>
      <c r="J210" s="2153"/>
      <c r="K210" s="1610"/>
      <c r="L210" s="2138"/>
      <c r="M210" s="2138"/>
      <c r="N210" s="1590"/>
      <c r="O210" s="2138"/>
      <c r="P210" s="2153"/>
      <c r="Q210" s="1790"/>
      <c r="R210" s="2138"/>
      <c r="S210" s="2138"/>
      <c r="T210" s="1858"/>
      <c r="U210" s="2138"/>
      <c r="V210" s="2153"/>
      <c r="W210" s="1593"/>
      <c r="X210" s="2138"/>
      <c r="Y210" s="2138"/>
      <c r="Z210" s="1590"/>
      <c r="AA210" s="2138"/>
      <c r="AB210" s="2153"/>
      <c r="AC210" s="1594"/>
      <c r="AD210" s="2138"/>
      <c r="AE210" s="2138"/>
      <c r="AF210" s="1788"/>
      <c r="AG210" s="1788"/>
      <c r="AH210" s="2177"/>
      <c r="AI210" s="2178"/>
    </row>
    <row s="1850" customFormat="1" customHeight="1" ht="15">
      <c r="D211" s="2523"/>
      <c r="E211" s="2199"/>
      <c r="F211" s="2199"/>
      <c r="G211" s="2179"/>
      <c r="H211" s="1600"/>
      <c r="I211" s="2182"/>
      <c r="J211" s="2153"/>
      <c r="K211" s="1610"/>
      <c r="L211" s="2138"/>
      <c r="M211" s="2138"/>
      <c r="N211" s="1590"/>
      <c r="O211" s="2138"/>
      <c r="P211" s="2153"/>
      <c r="Q211" s="1790"/>
      <c r="R211" s="2138"/>
      <c r="S211" s="2138"/>
      <c r="T211" s="1858"/>
      <c r="U211" s="2138"/>
      <c r="V211" s="2153"/>
      <c r="W211" s="1593"/>
      <c r="X211" s="2138"/>
      <c r="Y211" s="2138"/>
      <c r="Z211" s="1786"/>
      <c r="AA211" s="1788"/>
      <c r="AB211" s="2177"/>
      <c r="AC211" s="2177"/>
      <c r="AD211" s="2177"/>
      <c r="AE211" s="2177"/>
      <c r="AF211" s="2177"/>
      <c r="AG211" s="2177"/>
      <c r="AH211" s="2177"/>
      <c r="AI211" s="2178"/>
    </row>
    <row s="1850" customFormat="1" customHeight="1" ht="15">
      <c r="D212" s="2523"/>
      <c r="E212" s="2199"/>
      <c r="F212" s="2199"/>
      <c r="G212" s="2179"/>
      <c r="H212" s="1600"/>
      <c r="I212" s="2182"/>
      <c r="J212" s="2153"/>
      <c r="K212" s="1610"/>
      <c r="L212" s="2138"/>
      <c r="M212" s="2138"/>
      <c r="N212" s="1590"/>
      <c r="O212" s="2138"/>
      <c r="P212" s="2153"/>
      <c r="Q212" s="1790"/>
      <c r="R212" s="2138"/>
      <c r="S212" s="2138"/>
      <c r="T212" s="1859"/>
      <c r="U212" s="1597"/>
      <c r="V212" s="2177"/>
      <c r="W212" s="2177"/>
      <c r="X212" s="2177"/>
      <c r="Y212" s="2177"/>
      <c r="Z212" s="2177"/>
      <c r="AA212" s="2177"/>
      <c r="AB212" s="2177"/>
      <c r="AC212" s="2177"/>
      <c r="AD212" s="2177"/>
      <c r="AE212" s="2177"/>
      <c r="AF212" s="2177"/>
      <c r="AG212" s="2177"/>
      <c r="AH212" s="2177"/>
      <c r="AI212" s="2178"/>
    </row>
    <row s="1850" customFormat="1" customHeight="1" ht="11.25">
      <c r="D213" s="2523"/>
      <c r="E213" s="2199"/>
      <c r="F213" s="2199"/>
      <c r="G213" s="2179"/>
      <c r="H213" s="1601"/>
      <c r="I213" s="2182"/>
      <c r="J213" s="2153"/>
      <c r="K213" s="1610"/>
      <c r="L213" s="2138"/>
      <c r="M213" s="2138"/>
      <c r="N213" s="1788"/>
      <c r="O213" s="1788"/>
      <c r="P213" s="2177"/>
      <c r="Q213" s="2177"/>
      <c r="R213" s="2177"/>
      <c r="S213" s="2177"/>
      <c r="T213" s="2177"/>
      <c r="U213" s="2177"/>
      <c r="V213" s="2177"/>
      <c r="W213" s="2177"/>
      <c r="X213" s="2177"/>
      <c r="Y213" s="2177"/>
      <c r="Z213" s="2177"/>
      <c r="AA213" s="2177"/>
      <c r="AB213" s="2177"/>
      <c r="AC213" s="2177"/>
      <c r="AD213" s="2177"/>
      <c r="AE213" s="2177"/>
      <c r="AF213" s="2177"/>
      <c r="AG213" s="2177"/>
      <c r="AH213" s="2177"/>
      <c r="AI213" s="2178"/>
    </row>
    <row s="1554" customFormat="1" customHeight="1" ht="11.25">
      <c r="D214" s="2523"/>
      <c r="E214" s="2199"/>
      <c r="F214" s="2199"/>
      <c r="G214" s="2184"/>
      <c r="H214" s="1598"/>
      <c r="I214" s="1602"/>
      <c r="J214" s="2187"/>
      <c r="K214" s="2187"/>
      <c r="L214" s="2187"/>
      <c r="M214" s="2187"/>
      <c r="N214" s="2187"/>
      <c r="O214" s="2187"/>
      <c r="P214" s="2187"/>
      <c r="Q214" s="2187"/>
      <c r="R214" s="2187"/>
      <c r="S214" s="2187"/>
      <c r="T214" s="2187"/>
      <c r="U214" s="2187"/>
      <c r="V214" s="2187"/>
      <c r="W214" s="2187"/>
      <c r="X214" s="2187"/>
      <c r="Y214" s="2187"/>
      <c r="Z214" s="2187"/>
      <c r="AA214" s="2187"/>
      <c r="AB214" s="2187"/>
      <c r="AC214" s="2187"/>
      <c r="AD214" s="2187"/>
      <c r="AE214" s="2187"/>
      <c r="AF214" s="2187"/>
      <c r="AG214" s="2187"/>
      <c r="AH214" s="2187"/>
      <c r="AI214" s="2188"/>
      <c r="BK214" s="1574"/>
    </row>
    <row customHeight="1" ht="17.25">
      <c r="A215" s="1850"/>
    </row>
  </sheetData>
  <sheetProtection formatColumns="0" formatRows="0" sort="0" autoFilter="0" insertRows="0" insertColumns="1" deleteRows="0" deleteColumns="0"/>
  <mergeCells count="287">
    <mergeCell ref="A47:A51"/>
    <mergeCell ref="C47:C51"/>
    <mergeCell ref="F72:F73"/>
    <mergeCell ref="G72:G73"/>
    <mergeCell ref="H72:H73"/>
    <mergeCell ref="I72:I73"/>
    <mergeCell ref="J72:J73"/>
    <mergeCell ref="K72:K73"/>
    <mergeCell ref="U121:U123"/>
    <mergeCell ref="P83:P85"/>
    <mergeCell ref="Q83:Q85"/>
    <mergeCell ref="R83:R85"/>
    <mergeCell ref="N91:N93"/>
    <mergeCell ref="O91:O93"/>
    <mergeCell ref="P91:P93"/>
    <mergeCell ref="Q91:Q93"/>
    <mergeCell ref="R91:R93"/>
    <mergeCell ref="S91:S93"/>
    <mergeCell ref="T91:T93"/>
    <mergeCell ref="U91:U93"/>
    <mergeCell ref="V121:V123"/>
    <mergeCell ref="D154:D158"/>
    <mergeCell ref="L72:L73"/>
    <mergeCell ref="G82:G86"/>
    <mergeCell ref="U133:U135"/>
    <mergeCell ref="V133:V135"/>
    <mergeCell ref="O154:O156"/>
    <mergeCell ref="S154:S155"/>
    <mergeCell ref="U72:U73"/>
    <mergeCell ref="V72:V73"/>
    <mergeCell ref="U130:U132"/>
    <mergeCell ref="V130:V132"/>
    <mergeCell ref="P154:P155"/>
    <mergeCell ref="Q154:Q155"/>
    <mergeCell ref="R154:R155"/>
    <mergeCell ref="G154:G158"/>
    <mergeCell ref="K154:K157"/>
    <mergeCell ref="D127:D135"/>
    <mergeCell ref="E127:G127"/>
    <mergeCell ref="H127:R127"/>
    <mergeCell ref="D115:D123"/>
    <mergeCell ref="E115:G115"/>
    <mergeCell ref="H115:R115"/>
    <mergeCell ref="M154:M156"/>
    <mergeCell ref="H147:H148"/>
    <mergeCell ref="I147:I148"/>
    <mergeCell ref="J147:J148"/>
    <mergeCell ref="K147:K148"/>
    <mergeCell ref="AC115:AC120"/>
    <mergeCell ref="E116:G116"/>
    <mergeCell ref="H116:R116"/>
    <mergeCell ref="E117:G117"/>
    <mergeCell ref="E139:E142"/>
    <mergeCell ref="F139:F142"/>
    <mergeCell ref="G139:G142"/>
    <mergeCell ref="L139:M139"/>
    <mergeCell ref="S139:S142"/>
    <mergeCell ref="H140:H141"/>
    <mergeCell ref="I140:I141"/>
    <mergeCell ref="J140:J141"/>
    <mergeCell ref="K140:K141"/>
    <mergeCell ref="H117:R117"/>
    <mergeCell ref="E118:P118"/>
    <mergeCell ref="U118:U120"/>
    <mergeCell ref="V118:V120"/>
    <mergeCell ref="E121:P121"/>
    <mergeCell ref="AC127:AC132"/>
    <mergeCell ref="E128:G128"/>
    <mergeCell ref="L154:L156"/>
    <mergeCell ref="N194:N196"/>
    <mergeCell ref="E154:E158"/>
    <mergeCell ref="N154:N156"/>
    <mergeCell ref="J154:J157"/>
    <mergeCell ref="F154:F158"/>
    <mergeCell ref="E194:E198"/>
    <mergeCell ref="H154:H157"/>
    <mergeCell ref="G194:G198"/>
    <mergeCell ref="H160:H163"/>
    <mergeCell ref="I160:I163"/>
    <mergeCell ref="J160:J163"/>
    <mergeCell ref="K160:K163"/>
    <mergeCell ref="L160:L162"/>
    <mergeCell ref="M160:M162"/>
    <mergeCell ref="N160:N162"/>
    <mergeCell ref="F194:F198"/>
    <mergeCell ref="I194:I197"/>
    <mergeCell ref="M176:M178"/>
    <mergeCell ref="N176:N178"/>
    <mergeCell ref="H182:H185"/>
    <mergeCell ref="I182:I185"/>
    <mergeCell ref="J182:J185"/>
    <mergeCell ref="K182:K185"/>
    <mergeCell ref="L194:L196"/>
    <mergeCell ref="S160:S161"/>
    <mergeCell ref="L165:L167"/>
    <mergeCell ref="M165:M167"/>
    <mergeCell ref="N165:N167"/>
    <mergeCell ref="O165:O167"/>
    <mergeCell ref="S165:S166"/>
    <mergeCell ref="Q194:Q195"/>
    <mergeCell ref="R194:R195"/>
    <mergeCell ref="S194:S195"/>
    <mergeCell ref="P194:P195"/>
    <mergeCell ref="S169:S170"/>
    <mergeCell ref="L182:L184"/>
    <mergeCell ref="M182:M184"/>
    <mergeCell ref="N182:N184"/>
    <mergeCell ref="O182:O184"/>
    <mergeCell ref="P182:P183"/>
    <mergeCell ref="Q182:Q183"/>
    <mergeCell ref="R182:R183"/>
    <mergeCell ref="S182:S183"/>
    <mergeCell ref="S176:S177"/>
    <mergeCell ref="A13:A15"/>
    <mergeCell ref="D23:D25"/>
    <mergeCell ref="E23:E25"/>
    <mergeCell ref="F23:F25"/>
    <mergeCell ref="G23:G24"/>
    <mergeCell ref="H23:H24"/>
    <mergeCell ref="I23:I24"/>
    <mergeCell ref="J23:J24"/>
    <mergeCell ref="G29:G30"/>
    <mergeCell ref="H29:H30"/>
    <mergeCell ref="I29:I30"/>
    <mergeCell ref="J29:J30"/>
    <mergeCell ref="H128:R128"/>
    <mergeCell ref="E129:G129"/>
    <mergeCell ref="H129:R129"/>
    <mergeCell ref="E130:P130"/>
    <mergeCell ref="D194:D198"/>
    <mergeCell ref="I154:I157"/>
    <mergeCell ref="H194:H197"/>
    <mergeCell ref="J194:J197"/>
    <mergeCell ref="K194:K197"/>
    <mergeCell ref="M194:M196"/>
    <mergeCell ref="O194:O196"/>
    <mergeCell ref="P165:P166"/>
    <mergeCell ref="Q165:Q166"/>
    <mergeCell ref="R165:R166"/>
    <mergeCell ref="P169:P170"/>
    <mergeCell ref="Q169:Q170"/>
    <mergeCell ref="R169:R170"/>
    <mergeCell ref="P191:P192"/>
    <mergeCell ref="Q191:Q192"/>
    <mergeCell ref="R191:R192"/>
    <mergeCell ref="O160:O162"/>
    <mergeCell ref="P160:P161"/>
    <mergeCell ref="Q160:Q161"/>
    <mergeCell ref="R160:R161"/>
    <mergeCell ref="Y72:Y73"/>
    <mergeCell ref="S72:S73"/>
    <mergeCell ref="T72:T73"/>
    <mergeCell ref="M72:M73"/>
    <mergeCell ref="N72:N73"/>
    <mergeCell ref="O72:O73"/>
    <mergeCell ref="Q72:Q73"/>
    <mergeCell ref="R72:R73"/>
    <mergeCell ref="W72:W73"/>
    <mergeCell ref="X72:X73"/>
    <mergeCell ref="P72:P73"/>
    <mergeCell ref="AJ82:AJ86"/>
    <mergeCell ref="AK82:AK86"/>
    <mergeCell ref="I87:K87"/>
    <mergeCell ref="F82:F87"/>
    <mergeCell ref="AF82:AF86"/>
    <mergeCell ref="AG82:AG86"/>
    <mergeCell ref="AH82:AH86"/>
    <mergeCell ref="AI82:AI86"/>
    <mergeCell ref="S83:S85"/>
    <mergeCell ref="T83:T85"/>
    <mergeCell ref="U83:U85"/>
    <mergeCell ref="V83:V85"/>
    <mergeCell ref="W83:W85"/>
    <mergeCell ref="X83:X85"/>
    <mergeCell ref="Y83:Y85"/>
    <mergeCell ref="H82:H86"/>
    <mergeCell ref="I82:I86"/>
    <mergeCell ref="J82:J86"/>
    <mergeCell ref="K82:K86"/>
    <mergeCell ref="L82:L86"/>
    <mergeCell ref="M82:M86"/>
    <mergeCell ref="N83:N85"/>
    <mergeCell ref="O83:O85"/>
    <mergeCell ref="D176:D180"/>
    <mergeCell ref="E176:E180"/>
    <mergeCell ref="F176:F180"/>
    <mergeCell ref="G176:G180"/>
    <mergeCell ref="H176:H179"/>
    <mergeCell ref="I176:I179"/>
    <mergeCell ref="J176:J179"/>
    <mergeCell ref="K176:K179"/>
    <mergeCell ref="L176:L178"/>
    <mergeCell ref="R202:R205"/>
    <mergeCell ref="S202:S205"/>
    <mergeCell ref="U202:U204"/>
    <mergeCell ref="V202:V204"/>
    <mergeCell ref="X202:X204"/>
    <mergeCell ref="Y202:Y204"/>
    <mergeCell ref="AA202:AA203"/>
    <mergeCell ref="AB202:AB203"/>
    <mergeCell ref="D202:D207"/>
    <mergeCell ref="E202:E207"/>
    <mergeCell ref="F202:F207"/>
    <mergeCell ref="G202:G207"/>
    <mergeCell ref="I202:I206"/>
    <mergeCell ref="J202:J206"/>
    <mergeCell ref="L202:L206"/>
    <mergeCell ref="M202:M206"/>
    <mergeCell ref="O202:O205"/>
    <mergeCell ref="D209:D214"/>
    <mergeCell ref="E209:E214"/>
    <mergeCell ref="F209:F214"/>
    <mergeCell ref="G209:G214"/>
    <mergeCell ref="I209:I213"/>
    <mergeCell ref="J209:J213"/>
    <mergeCell ref="L209:L213"/>
    <mergeCell ref="M209:M213"/>
    <mergeCell ref="O209:O212"/>
    <mergeCell ref="AB209:AB210"/>
    <mergeCell ref="AD209:AD210"/>
    <mergeCell ref="AE209:AE210"/>
    <mergeCell ref="AH210:AI210"/>
    <mergeCell ref="AB211:AI211"/>
    <mergeCell ref="V212:AI212"/>
    <mergeCell ref="P213:AI213"/>
    <mergeCell ref="J214:AI214"/>
    <mergeCell ref="AD202:AD203"/>
    <mergeCell ref="AE202:AE203"/>
    <mergeCell ref="AH203:AI203"/>
    <mergeCell ref="AB204:AI204"/>
    <mergeCell ref="V205:AI205"/>
    <mergeCell ref="P206:AI206"/>
    <mergeCell ref="J207:AI207"/>
    <mergeCell ref="P209:P212"/>
    <mergeCell ref="R209:R212"/>
    <mergeCell ref="S209:S212"/>
    <mergeCell ref="U209:U211"/>
    <mergeCell ref="V209:V211"/>
    <mergeCell ref="X209:X211"/>
    <mergeCell ref="Y209:Y211"/>
    <mergeCell ref="AA209:AA210"/>
    <mergeCell ref="P202:P205"/>
    <mergeCell ref="V91:V93"/>
    <mergeCell ref="W91:W93"/>
    <mergeCell ref="X91:X93"/>
    <mergeCell ref="Y91:Y93"/>
    <mergeCell ref="H101:H105"/>
    <mergeCell ref="I101:I105"/>
    <mergeCell ref="J101:J105"/>
    <mergeCell ref="K101:K105"/>
    <mergeCell ref="L101:L105"/>
    <mergeCell ref="M101:M105"/>
    <mergeCell ref="AF101:AF105"/>
    <mergeCell ref="AG101:AG105"/>
    <mergeCell ref="AH101:AH105"/>
    <mergeCell ref="AI101:AI105"/>
    <mergeCell ref="AJ101:AJ105"/>
    <mergeCell ref="AK101:AK105"/>
    <mergeCell ref="N102:N104"/>
    <mergeCell ref="O102:O104"/>
    <mergeCell ref="P102:P104"/>
    <mergeCell ref="Q102:Q104"/>
    <mergeCell ref="R102:R104"/>
    <mergeCell ref="S102:S104"/>
    <mergeCell ref="T102:T104"/>
    <mergeCell ref="U102:U104"/>
    <mergeCell ref="V102:V104"/>
    <mergeCell ref="W102:W104"/>
    <mergeCell ref="X102:X104"/>
    <mergeCell ref="Y102:Y104"/>
    <mergeCell ref="W176:W177"/>
    <mergeCell ref="O176:O178"/>
    <mergeCell ref="P176:P177"/>
    <mergeCell ref="Q176:Q177"/>
    <mergeCell ref="R176:R177"/>
    <mergeCell ref="S191:S192"/>
    <mergeCell ref="W191:W192"/>
    <mergeCell ref="W182:W183"/>
    <mergeCell ref="L187:L189"/>
    <mergeCell ref="M187:M189"/>
    <mergeCell ref="N187:N189"/>
    <mergeCell ref="O187:O189"/>
    <mergeCell ref="P187:P188"/>
    <mergeCell ref="Q187:Q188"/>
    <mergeCell ref="R187:R188"/>
    <mergeCell ref="S187:S188"/>
    <mergeCell ref="W187:W188"/>
  </mergeCells>
  <dataValidations count="20">
    <dataValidation type="textLength" operator="lessThanOrEqual" allowBlank="1" showInputMessage="1" showErrorMessage="1" errorTitle="Ошибка" error="Допускается ввод не более 900 символов!" sqref="L72:M72 E8 J194:J195 R194:R195 U72:W72 V194:W194 AB72 G13 M34 E39 E60 R191:R192 E64:F64 E68 G68 Q72:S72 M82 K82:K85 V154:W154 J154:J155 R154:R155 V176:W176 J176:J177 R176:R177 AI202 J202:J206 P202:P205 AI209 J209:J213 P209:P212 E4 L77:M77 U77:W77 AB77 Q77:S77 V172:W172 J172 R172 K91:K93 M101 K101:K104 K97 V160:W160 J160:J161 R160:R161 V165:W165 J165:J166 R165:R166 V169:W169 J169:J170 R169:R170 V182:W182 J182:J183 R182:R183 V187:W187 J187:J188 R187:R188 V191:W191 J191:J192 E43:F43 F48 F50:F51 I110">
      <formula1>900</formula1>
    </dataValidation>
    <dataValidation allowBlank="1" showInputMessage="1" showErrorMessage="1" prompt="Для выбора выполните двойной щелчок левой клавиши мыши по соответствующей ячейке." sqref="K194:K195 O194:O195 S154:S155 S194:S195 O154 K154 F165:F167 S176:S177 O176 K176 F172 K160 S160:S161 O160 F154:F158 K165 S165:S166 O165 O191 K169 S169:S170 O169 F160:F163 K182 S182:S183 O182 F176:F180 F182:F185 S187:S188 O187 F187:F189 F191:F192 S191:S192 F169:F170"/>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64 T72 I72:J72 X72 T77 I77:J77 X77 F49"/>
    <dataValidation type="decimal" allowBlank="1" showErrorMessage="1" errorTitle="Ошибка" error="Допускается ввод только неотрицательных чисел!" sqref="Q147 O147 O150 Q150 Q140 O140 AC84 AE84 AC92 AE92 AE97 AE103 AC103 AC97 T60 H60:I60 AB60 X60 K60 M60 O60 Q60">
      <formula1>0</formula1>
      <formula2>9.99999999999999E+23</formula2>
    </dataValidation>
    <dataValidation allowBlank="1" showInputMessage="1" showErrorMessage="1" prompt="Выберите виды деятельности, выполнив двойной щелчок левой кнопки мыши по ячейке." sqref="G165:G167 G172 G154:G158 G191:G192 G160:G163 G176:G180 G182:G185 G187:G189 G169:G170"/>
    <dataValidation type="list" allowBlank="1" showInputMessage="1" showErrorMessage="1" errorTitle="Ошибка" error="Выберите значение из списка"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194:N196">
      <formula1>DESCRIPTION_TERRITORY</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64 K56 F68">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F39 I82:J85 K72 K77 I97:J97 I101:J104">
      <formula1>"a"</formula1>
    </dataValidation>
    <dataValidation type="textLength" operator="lessThan" allowBlank="1" showInputMessage="1" showErrorMessage="1" error="Допускается ввод не более 900 символов!" sqref="M29 M23">
      <formula1>900</formula1>
    </dataValidation>
    <dataValidation type="list" allowBlank="1" showInputMessage="1" showErrorMessage="1" sqref="I34">
      <formula1>DESCRIPTION_TERRITORY</formula1>
    </dataValidation>
    <dataValidation allowBlank="1" showInputMessage="1" showErrorMessage="1" prompt="Изменение значения по двойному щелчоку левой кнопки мыши" sqref="J56"/>
    <dataValidation type="list" allowBlank="1" showInputMessage="1" showErrorMessage="1" errorTitle="Ошибка" error="Выберите значение из списка" prompt="Выберите значение из списка" sqref="L60">
      <formula1>kind_of_power_te_unit</formula1>
    </dataValidation>
    <dataValidation type="whole" allowBlank="1" showErrorMessage="1" errorTitle="Ошибка" error="Допускается ввод только неотрицательных целых чисел!" sqref="AF91:AF93 AI91:AI93 AF101:AF105 AI101:AI105 AF97 AI97 AF82:AF86 AI82:AI86 N60 P60 U60:V60 Y60:Z60 J60 R60:S60 AC60">
      <formula1>0</formula1>
      <formula2>9.99999999999999E+23</formula2>
    </dataValidation>
    <dataValidation allowBlank="1" showInputMessage="1" showErrorMessage="1" prompt="Выберите один или несколько одновременно видов деятельности, выполнив последовательно по одному щелчку на строке с видом деятельности" sqref="F60"/>
    <dataValidation allowBlank="1" showInputMessage="1" showErrorMessage="1" promptTitle="Ввод" prompt="Для выбора ИП необходимо два раза нажать левую кнопку мыши!" sqref="G72 G77"/>
    <dataValidation type="list" allowBlank="1" showInputMessage="1" showErrorMessage="1" errorTitle="Ошибка" error="Выберите значение из списка" prompt="Выберите значение из списка" sqref="J140:J141 J147:J148 J150">
      <formula1>kind_of_purchase_method</formula1>
    </dataValidation>
    <dataValidation type="list" allowBlank="1" showInputMessage="1" showErrorMessage="1" errorTitle="Ошибка" error="Выберите значение из списка" prompt="Выберите значение из списка" sqref="H110">
      <formula1>QRE_METHOD_LIST</formula1>
    </dataValidation>
    <dataValidation allowBlank="1" showInputMessage="1" showErrorMessage="1"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154:N156 N176:N178 N160:N162 N165:N167 N169:N170 N182:N184 N187:N189 N191:N192"/>
    <dataValidation type="list" errorStyle="warning" allowBlank="1" showInputMessage="1" errorTitle="Ошибка" error="Выберите значение из списка" prompt="Выберите значение из списка или укажите свой вид твердых коммунальных отходов" sqref="AC202 AC209">
      <formula1>list_typeTKO</formula1>
    </dataValidation>
    <dataValidation type="decimal" allowBlank="1" showErrorMessage="1" errorTitle="Ошибка" error="Допускается ввод только действительных чисел!" sqref="CY110:DJ110 BT110:CK110 O110:AB110">
      <formula1>-9.99999999999999E+23</formula1>
      <formula2>9.99999999999999E+23</formula2>
    </dataValidation>
  </dataValidations>
  <pageMargins left="0.75" right="0.75" top="1.00" bottom="1.00" header="0.50" footer="0.50"/>
  <pageSetup paperSize="9" pageOrder="downThenOver" orientation="portrait"/>
  <headerFooter>
    <oddHeader>&amp;L&amp;C&amp;R</oddHeader>
    <oddFooter>&amp;L&amp;C&amp;R</oddFooter>
    <evenHeader>&amp;L&amp;C&amp;R</evenHeader>
    <evenFooter>&amp;L&amp;C&amp;R</evenFooter>
  </headerFooter>
</worksheet>
</file>

<file path=xl/worksheets/sheet6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3F9679F-785D-1B8C-7535-A97F2A9605A1}" mc:Ignorable="x14ac xr xr2 xr3">
  <sheetPr>
    <tabColor rgb="FFFFCC99"/>
  </sheetPr>
  <dimension ref="A1:H34"/>
  <sheetViews>
    <sheetView topLeftCell="A1" showGridLines="0" workbookViewId="0">
      <selection activeCell="A1" sqref="A1"/>
    </sheetView>
  </sheetViews>
  <sheetFormatPr defaultColWidth="43.140625" customHeight="1" defaultRowHeight="9"/>
  <cols>
    <col min="1" max="1" style="840" width="43.140625"/>
    <col min="2" max="2" style="840" width="43.140625" hidden="1"/>
    <col min="3" max="3" style="840" width="43.140625"/>
    <col min="4" max="5" style="840" width="36.421875" customWidth="1"/>
    <col min="6" max="8" style="981" width="36.421875" customWidth="1"/>
  </cols>
  <sheetData>
    <row customHeight="1" ht="9">
      <c r="A1" s="846" t="s">
        <v>1943</v>
      </c>
      <c r="B1" s="846"/>
      <c r="C1" s="982" t="s">
        <v>1944</v>
      </c>
      <c r="D1" s="980" t="s">
        <v>810</v>
      </c>
      <c r="E1" s="980" t="s">
        <v>856</v>
      </c>
      <c r="F1" s="980" t="s">
        <v>909</v>
      </c>
      <c r="G1" s="980" t="s">
        <v>896</v>
      </c>
      <c r="H1" s="980" t="s">
        <v>1619</v>
      </c>
    </row>
    <row customHeight="1" ht="9">
      <c r="A2" s="983" t="s">
        <v>1945</v>
      </c>
      <c r="B2" s="983"/>
      <c r="C2" s="984" t="str">
        <f>INDEX(TEMPLATE_NUMBER_FORM_LIST,MATCH(TEMPLATE_SPHERE,TEMPLATE_SPHERE_LIST,0))</f>
        <v>16</v>
      </c>
      <c r="D2" s="983" t="s">
        <v>1469</v>
      </c>
      <c r="E2" s="983" t="s">
        <v>153</v>
      </c>
      <c r="F2" s="985" t="s">
        <v>153</v>
      </c>
      <c r="G2" s="983" t="s">
        <v>153</v>
      </c>
      <c r="H2" s="986"/>
    </row>
    <row customHeight="1" ht="63">
      <c r="A3" s="846"/>
      <c r="B3" s="846" t="s">
        <v>109</v>
      </c>
      <c r="C3" s="984" t="str">
        <f>IF(TEMPLATE_SPHERE="HEAT",D3,IF(TEMPLATE_SPHERE="TKO",H3,E3))</f>
        <v>Форма 14. Информация о наличии (об отсутствии) технической возможности подключения (технологического присоединения) к системе теплоснабжения, а также о принятии и ходе рассмотрения заявок на заключение договора о подключении (технологическом присоединении) к системе теплоснабжения</v>
      </c>
      <c r="D3" s="984" t="s">
        <v>1946</v>
      </c>
      <c r="E3" s="984" t="str">
        <f>"Форма 8. Информация о наличии (об отсутствии) технической возможности подключения (технологического присоединения) к централизованной системе "&amp;TEMPLATE_SPHERE_RUS&amp;", а также о принятии и рассмотрении заявлений о заключении договоров о подключении (технологическом присоединении) к централизованной системе "&amp;TEMPLATE_SPHERE_RUS</f>
        <v>Форма 8. Информация о наличии (об отсутствии) технической возможности подключения (технологического присоединения) к централизованной системе теплоснабжения, а также о принятии и рассмотрении заявлений о заключении договоров о подключении (технологическом присоединении) к централизованной системе теплоснабжения</v>
      </c>
      <c r="F3" s="985"/>
      <c r="G3" s="986"/>
      <c r="H3" s="846"/>
    </row>
    <row customHeight="1" ht="243">
      <c r="A4" s="846" t="s">
        <v>1947</v>
      </c>
      <c r="B4" s="846" t="s">
        <v>110</v>
      </c>
      <c r="C4" s="984" t="str">
        <f>IF(TEMPLATE_SPHERE="HEAT",D4,IF(TEMPLATE_SPHERE="TKO",H4,E4))</f>
        <v>Форма 1. Информация о единых теплоснабжающих организациях в системе теплоснабжения,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не отнесенных к ценовым зонам теплоснабжения, и в поселениях и городских округах, отнесенных к ценовым зонам теплоснабжения в соответствии с Федеральным законом от 27 июля 2010 г. N 190-ФЗ "О теплоснабжении", до окончания переходного периода в ценовых зонах теплоснабжения (далее - регулируемые организации); о единых теплоснабжающих организациях,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отнесенных к ценовым зонам теплоснабжения в соответствии с Федеральным законом от 27 июля 2010 г. N 190-ФЗ "О теплоснабжении", после окончания переходного периода в ценовых зонах теплоснабжения (далее соответственно - единые теплоснабжающие организации в ценовых зонах теплоснабжения, теплоснабжающие организации в ценовых зонах теплоснабжения и теплосетевые организации в ценовых зонах теплоснабжения) (общая информация)</v>
      </c>
      <c r="D4" s="983" t="s">
        <v>1948</v>
      </c>
      <c r="E4" s="984" t="str">
        <f>"Форма 1. Информация об организации, осуществляющей "&amp;TEMPLATE_SPHERE_RUS_2&amp;" (общая информация)"</f>
        <v>Форма 1. Информация об организации, осуществляющей теплоснабжение (общая информация)</v>
      </c>
      <c r="F4" s="983"/>
      <c r="G4" s="983"/>
      <c r="H4" s="846" t="s">
        <v>1949</v>
      </c>
    </row>
    <row customHeight="1" ht="117">
      <c r="A5" s="846" t="s">
        <v>1950</v>
      </c>
      <c r="B5" s="846" t="s">
        <v>90</v>
      </c>
      <c r="C5" s="984" t="str">
        <f>IF(TEMPLATE_SPHERE="HEAT",D5,IF(TEMPLATE_SPHERE="TKO",H5,E5))</f>
        <v>Форма 15. Информация об условиях, на которых осуществляется поставка товаров (оказание услуг) в сфере теплоснабжения, цены (тарифы) на которые подлежат регулированию, и (или) условиях договоров о подключении (технологическом присоединении) к системе теплоснабжения, информация об условиях, на которых осуществляется поставка товаров (оказание услуг) по ценам, определяемым по соглашению сторон в соответствии с Федеральным законом от 27 июля 2010 г. N 190-ФЗ "О теплоснабжении", и (или) условиях договоров о подключении (технологическом присоединении) к системе теплоснабжения</v>
      </c>
      <c r="D5" s="846" t="s">
        <v>1951</v>
      </c>
      <c r="E5" s="849" t="str">
        <f>"Форма 9. Информация об условиях, на которых осуществляется поставка товаров (оказание услуг), тарифы на которые подлежат регулированию, и (или) условиях договоров о подключении (технологическом присоединении) к централизованной системе "&amp;TEMPLATE_SPHERE_RUS</f>
        <v>Форма 9. Информация об условиях, на которых осуществляется поставка товаров (оказание услуг), тарифы на которые подлежат регулированию, и (или) условиях договоров о подключении (технологическом присоединении) к централизованной системе теплоснабжения</v>
      </c>
      <c r="F5" s="986"/>
      <c r="G5" s="986"/>
      <c r="H5" s="846" t="s">
        <v>1952</v>
      </c>
    </row>
    <row customHeight="1" ht="90">
      <c r="A6" s="846" t="s">
        <v>1953</v>
      </c>
      <c r="B6" s="846" t="s">
        <v>91</v>
      </c>
      <c r="C6" s="984" t="str">
        <f>IF(TEMPLATE_SPHERE="HEAT",D6,E6)</f>
        <v>Форма 7. Информация об основных показателях финансово-хозяйственной деятельности регулируемой организации, включая структуру основных производственных затрат (в части регулируемых видов деятельности)</v>
      </c>
      <c r="D6" s="849" t="str">
        <f>IF(TITLE_TYPE_ORG="Регулируемая организация","Форма 7. Информация об основных показателях финансово-хозяйственной деятельности регулируемой организации, включая структуру основных производственных затрат (в части регулируемых видов деятельности)","Форма 8. Информация о товарах (об услугах), поставляемых (оказываемых) единой теплоснабжающей организацией в ценовых зонах теплоснабжения по регулируемым ценам (тарифам) "&amp;"в сфере теплоснабжения, информация о товарах (об услугах), поставляемых (оказываемых) теплоснабжающей организацией в ценовых"&amp;" зонах теплоснабжения и теплосетевой организацией в ценовых зонах теплоснабжения по регулируемым ценам (тарифам) в сфере теплоснабжения")</f>
        <v>Форма 7. Информация об основных показателях финансово-хозяйственной деятельности регулируемой организации, включая структуру основных производственных затрат (в части регулируемых видов деятельности)</v>
      </c>
      <c r="E6" s="849" t="str">
        <f>"Форма 4. Информация об основных показателях финансово-хозяйственной деятельности организации "&amp;TEMPLATE_SPHERE_RUS&amp;", включая структуру основных производственных затрат (в части регулируемых видов деятельности в сфере "&amp;TEMPLATE_SPHERE_RUS&amp;")"</f>
        <v>Форма 4. Информация об основных показателях финансово-хозяйственной деятельности организации теплоснабжения, включая структуру основных производственных затрат (в части регулируемых видов деятельности в сфере теплоснабжения)</v>
      </c>
      <c r="F6" s="846"/>
      <c r="G6" s="846"/>
      <c r="H6" s="986"/>
    </row>
    <row customHeight="1" ht="45">
      <c r="A7" s="846" t="s">
        <v>1954</v>
      </c>
      <c r="B7" s="846" t="s">
        <v>111</v>
      </c>
      <c r="C7" s="984" t="str">
        <f>IF(TEMPLATE_SPHERE="HEAT",D7,E7)</f>
        <v>Форма 11. Информация о расходах на капитальный и текущий ремонт основных средств</v>
      </c>
      <c r="D7" s="846" t="s">
        <v>1955</v>
      </c>
      <c r="E7" s="846" t="s">
        <v>1956</v>
      </c>
      <c r="F7" s="986"/>
      <c r="G7" s="986"/>
      <c r="H7" s="986"/>
    </row>
    <row customHeight="1" ht="108">
      <c r="A8" s="846" t="s">
        <v>1957</v>
      </c>
      <c r="B8" s="846" t="s">
        <v>92</v>
      </c>
      <c r="C8" s="984" t="str">
        <f>IF(TEMPLATE_SPHERE="HEAT",D8,E8)</f>
        <v>Форма 12. Информация об основных потребительских характеристиках товаров, услуг регулируемой организации, цены (тарифы) в сфере теплоснабжения на которые подлежат регулированию, об основных потребительских характеристиках товаров (услуг), поставляемых (оказываемых) единой теплоснабжающей организацией в ценовых зонах теплоснабжения, об основных потребительских характеристиках товаров (услуг), поставляемых (оказываемых) теплоснабжающей организацией в ценовых зонах теплоснабжения и теплосетевой организацией в ценовых зонах теплоснабжения</v>
      </c>
      <c r="D8" s="846" t="s">
        <v>1158</v>
      </c>
      <c r="E8" s="846" t="s">
        <v>1958</v>
      </c>
      <c r="F8" s="986"/>
      <c r="G8" s="986"/>
      <c r="H8" s="986"/>
    </row>
    <row customHeight="1" ht="99">
      <c r="A9" s="846" t="s">
        <v>1959</v>
      </c>
      <c r="B9" s="846"/>
      <c r="C9" s="846" t="s">
        <v>1960</v>
      </c>
      <c r="D9" s="846"/>
      <c r="E9" s="846"/>
      <c r="F9" s="986"/>
      <c r="G9" s="986"/>
      <c r="H9" s="986"/>
    </row>
    <row customHeight="1" ht="126">
      <c r="A10" s="846" t="s">
        <v>1961</v>
      </c>
      <c r="B10" s="846"/>
      <c r="C10" s="846" t="s">
        <v>1962</v>
      </c>
      <c r="D10" s="846"/>
      <c r="E10" s="846"/>
      <c r="F10" s="986"/>
      <c r="G10" s="986"/>
      <c r="H10" s="986"/>
    </row>
    <row customHeight="1" ht="108">
      <c r="A11" s="846" t="s">
        <v>1963</v>
      </c>
      <c r="B11" s="846"/>
      <c r="C11" s="846" t="s">
        <v>1964</v>
      </c>
      <c r="D11" s="846"/>
      <c r="E11" s="846"/>
      <c r="F11" s="986"/>
      <c r="G11" s="986"/>
      <c r="H11" s="986"/>
    </row>
    <row customHeight="1" ht="54">
      <c r="A12" s="846" t="s">
        <v>1965</v>
      </c>
      <c r="B12" s="846"/>
      <c r="C12" s="846" t="s">
        <v>1966</v>
      </c>
      <c r="D12" s="846"/>
      <c r="E12" s="846"/>
      <c r="F12" s="986"/>
      <c r="G12" s="986"/>
      <c r="H12" s="986"/>
    </row>
    <row customHeight="1" ht="45">
      <c r="A13" s="846" t="s">
        <v>1967</v>
      </c>
      <c r="B13" s="846"/>
      <c r="C13" s="846" t="s">
        <v>1968</v>
      </c>
      <c r="D13" s="846"/>
      <c r="E13" s="846"/>
      <c r="F13" s="986"/>
      <c r="G13" s="986"/>
      <c r="H13" s="986"/>
    </row>
    <row customHeight="1" ht="117">
      <c r="A14" s="846" t="s">
        <v>1969</v>
      </c>
      <c r="B14" s="846"/>
      <c r="C14" s="846" t="s">
        <v>1970</v>
      </c>
      <c r="D14" s="846"/>
      <c r="E14" s="846"/>
      <c r="F14" s="986"/>
      <c r="G14" s="986"/>
      <c r="H14" s="986"/>
    </row>
    <row customHeight="1" ht="117">
      <c r="A15" s="846" t="s">
        <v>1971</v>
      </c>
      <c r="B15" s="846"/>
      <c r="C15" s="846" t="s">
        <v>1972</v>
      </c>
      <c r="D15" s="846"/>
      <c r="E15" s="846"/>
      <c r="F15" s="986"/>
      <c r="G15" s="986"/>
      <c r="H15" s="986"/>
    </row>
    <row customHeight="1" ht="63">
      <c r="A16" s="846" t="s">
        <v>1973</v>
      </c>
      <c r="B16" s="846"/>
      <c r="C16" s="846" t="s">
        <v>1974</v>
      </c>
      <c r="D16" s="846"/>
      <c r="E16" s="846"/>
      <c r="F16" s="986"/>
      <c r="G16" s="986"/>
      <c r="H16" s="986"/>
    </row>
    <row customHeight="1" ht="54">
      <c r="A17" s="846" t="s">
        <v>1975</v>
      </c>
      <c r="B17" s="846"/>
      <c r="C17" s="984" t="s">
        <v>1976</v>
      </c>
      <c r="D17" s="846"/>
      <c r="E17" s="846"/>
      <c r="F17" s="986"/>
      <c r="G17" s="986"/>
      <c r="H17" s="986"/>
    </row>
    <row customHeight="1" ht="27">
      <c r="A18" s="846" t="s">
        <v>1977</v>
      </c>
      <c r="B18" s="846"/>
      <c r="C18" s="984" t="s">
        <v>1978</v>
      </c>
      <c r="D18" s="846"/>
      <c r="E18" s="846"/>
      <c r="F18" s="986"/>
      <c r="G18" s="986"/>
      <c r="H18" s="986"/>
    </row>
    <row customHeight="1" ht="54">
      <c r="A19" s="846" t="s">
        <v>1979</v>
      </c>
      <c r="B19" s="846"/>
      <c r="C19" s="984" t="s">
        <v>1980</v>
      </c>
      <c r="D19" s="846"/>
      <c r="E19" s="846"/>
      <c r="F19" s="986"/>
      <c r="G19" s="986"/>
      <c r="H19" s="986"/>
    </row>
    <row customHeight="1" ht="36">
      <c r="A20" s="846" t="s">
        <v>1981</v>
      </c>
      <c r="B20" s="846"/>
      <c r="C20" s="984" t="s">
        <v>1982</v>
      </c>
      <c r="D20" s="846"/>
      <c r="E20" s="846"/>
      <c r="F20" s="986"/>
      <c r="G20" s="986"/>
      <c r="H20" s="986"/>
    </row>
    <row customHeight="1" ht="36">
      <c r="A21" s="846" t="s">
        <v>1983</v>
      </c>
      <c r="B21" s="846"/>
      <c r="C21" s="984" t="s">
        <v>1984</v>
      </c>
      <c r="D21" s="846"/>
      <c r="E21" s="846"/>
      <c r="F21" s="986"/>
      <c r="G21" s="986"/>
      <c r="H21" s="986"/>
    </row>
    <row customHeight="1" ht="27">
      <c r="A22" s="846" t="s">
        <v>1985</v>
      </c>
      <c r="B22" s="846"/>
      <c r="C22" s="984" t="s">
        <v>1986</v>
      </c>
      <c r="D22" s="846"/>
      <c r="E22" s="846"/>
      <c r="F22" s="986"/>
      <c r="G22" s="986"/>
      <c r="H22" s="986"/>
    </row>
    <row customHeight="1" ht="36">
      <c r="A23" s="846" t="s">
        <v>1987</v>
      </c>
      <c r="B23" s="846"/>
      <c r="C23" s="984" t="s">
        <v>1988</v>
      </c>
      <c r="D23" s="846"/>
      <c r="E23" s="846"/>
      <c r="F23" s="986"/>
      <c r="G23" s="986"/>
      <c r="H23" s="986"/>
    </row>
    <row customHeight="1" ht="28.5">
      <c r="A24" s="846" t="s">
        <v>1989</v>
      </c>
      <c r="B24" s="846"/>
      <c r="C24" s="984" t="s">
        <v>1990</v>
      </c>
      <c r="D24" s="846"/>
      <c r="E24" s="846"/>
      <c r="F24" s="986"/>
      <c r="G24" s="986"/>
      <c r="H24" s="986"/>
    </row>
    <row customHeight="1" ht="36">
      <c r="A25" s="846" t="s">
        <v>1991</v>
      </c>
      <c r="B25" s="846"/>
      <c r="C25" s="984" t="s">
        <v>1992</v>
      </c>
      <c r="D25" s="846"/>
      <c r="E25" s="846"/>
      <c r="F25" s="986"/>
      <c r="G25" s="986"/>
      <c r="H25" s="986"/>
    </row>
    <row customHeight="1" ht="27">
      <c r="A26" s="846" t="s">
        <v>1993</v>
      </c>
      <c r="B26" s="846"/>
      <c r="C26" s="984" t="s">
        <v>1994</v>
      </c>
      <c r="D26" s="846"/>
      <c r="E26" s="846"/>
      <c r="F26" s="986"/>
      <c r="G26" s="986"/>
      <c r="H26" s="986"/>
    </row>
    <row customHeight="1" ht="36">
      <c r="A27" s="846" t="s">
        <v>1995</v>
      </c>
      <c r="B27" s="846"/>
      <c r="C27" s="984" t="s">
        <v>1996</v>
      </c>
      <c r="D27" s="846"/>
      <c r="E27" s="846"/>
      <c r="F27" s="986"/>
      <c r="G27" s="986"/>
      <c r="H27" s="986"/>
    </row>
    <row customHeight="1" ht="28.5">
      <c r="A28" s="846" t="s">
        <v>1997</v>
      </c>
      <c r="B28" s="846"/>
      <c r="C28" s="984" t="s">
        <v>1998</v>
      </c>
      <c r="D28" s="846"/>
      <c r="E28" s="846"/>
      <c r="F28" s="986"/>
      <c r="G28" s="986"/>
      <c r="H28" s="986"/>
    </row>
    <row customHeight="1" ht="126">
      <c r="A29" s="846" t="s">
        <v>1999</v>
      </c>
      <c r="B29" s="846" t="s">
        <v>1570</v>
      </c>
      <c r="C29" s="984" t="str">
        <f>IF(TEMPLATE_SPHERE="HEAT",D29,IF(TEMPLATE_SPHERE="TKO",H29,E29))</f>
        <v>Форма 17. Информация о способах приобретения, стоимости и об объемах товаров, необходимых регулируемой организации для производства товаров (оказания услуг) в сфере теплоснабжения, цены (тарифы) на которые подлежат регулированию, о способах приобретения, стоимости и об объемах товаров, необходимых для производства товаров и (или) оказания услуг единой теплоснабжающей организацией в ценовых зонах теплоснабжения, о способах приобретения, стоимости и об объемах товаров, необходимых для производства товаров и (или) оказания услуг теплоснабжающей организацией в ценовых зонах теплоснабжения и теплосетевой организацией в ценовых зонах теплоснабжения</v>
      </c>
      <c r="D29" s="846" t="s">
        <v>2000</v>
      </c>
      <c r="E29" s="849" t="str">
        <f>"Форма 11. Информация о способах приобретения, стоимости и об объемах товаров (работ, услуг), необходимых организации "&amp;TEMPLATE_SPHERE_RUS&amp;" для производства товаров (оказания услуг) в сфере "&amp;TEMPLATE_SPHERE_RUS&amp;", тарифы на которые подлежат регулированию"</f>
        <v>Форма 11. Информация о способах приобретения, стоимости и об объемах товаров (работ, услуг), необходимых организации теплоснабжения для производства товаров (оказания услуг) в сфере теплоснабжения, тарифы на которые подлежат регулированию</v>
      </c>
      <c r="F29" s="986"/>
      <c r="G29" s="986"/>
      <c r="H29" s="846" t="s">
        <v>2001</v>
      </c>
    </row>
    <row customHeight="1" ht="36">
      <c r="A30" s="846" t="s">
        <v>2002</v>
      </c>
      <c r="B30" s="846"/>
      <c r="C30" s="984" t="str">
        <f>IF(TEMPLATE_SPHERE="HEAT",D30,IF(TEMPLATE_SPHERE="TKO",H30,E30))</f>
        <v>Форма 16. Информация о порядке выполнения технологических, технических и других мероприятий, связанных с подключением (технологическим присоединением) к системе теплоснабжения</v>
      </c>
      <c r="D30" s="846" t="s">
        <v>2003</v>
      </c>
      <c r="E30" s="849" t="str">
        <f>"Форма 10. Информация о порядке выполнения технологических, технических и других мероприятий, связанных с подключением (технологическим присоединением) к централизованной системе "&amp;TEMPLATE_SPHERE_RUS</f>
        <v>Форма 10. Информация о порядке выполнения технологических, технических и других мероприятий, связанных с подключением (технологическим присоединением) к централизованной системе теплоснабжения</v>
      </c>
      <c r="F30" s="986"/>
      <c r="G30" s="986"/>
      <c r="H30" s="986"/>
    </row>
    <row customHeight="1" ht="54">
      <c r="A31" s="846" t="s">
        <v>2004</v>
      </c>
      <c r="B31" s="846"/>
      <c r="C31" s="984" t="str">
        <f>IF(TEMPLATE_SPHERE="HEAT",D31,IF(TEMPLATE_SPHERE="TKO",H31,E31))</f>
        <v>Форма 2. Общая информация об объектах теплоснабжения регулируемой организации, единой теплоснабжающей организации в ценовых зонах теплоснабжения, теплоснабжающей организации в ценовых зонах теплоснабжения и теплосетевой организации в ценовых зонах теплоснабжения</v>
      </c>
      <c r="D31" s="846" t="s">
        <v>2005</v>
      </c>
      <c r="E31" s="849" t="str">
        <f>"Форма 1. Информация об организации, осуществляющей "&amp;TEMPLATE_SPHERE_RUS_2&amp;" (общая информация)"</f>
        <v>Форма 1. Информация об организации, осуществляющей теплоснабжение (общая информация)</v>
      </c>
      <c r="F31" s="986"/>
      <c r="G31" s="986"/>
      <c r="H31" s="986"/>
    </row>
    <row customHeight="1" ht="198">
      <c r="A32" s="846" t="s">
        <v>2006</v>
      </c>
      <c r="B32" s="846"/>
      <c r="C32" s="984" t="str">
        <f>IF(TEMPLATE_SPHERE="HEAT",D32,IF(TEMPLATE_SPHERE="TKO",H32,E32))</f>
        <v>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v>
      </c>
      <c r="D32" s="846" t="s">
        <v>2007</v>
      </c>
      <c r="E32" s="849" t="str">
        <f>"Форма 7. Информация об инвестиционных программах организации "&amp;TEMPLATE_SPHERE_RUS&amp;" и отчетах об их исполнении"</f>
        <v>Форма 7. Информация об инвестиционных программах организации теплоснабжения и отчетах об их исполнении</v>
      </c>
      <c r="F32" s="986"/>
      <c r="G32" s="986"/>
      <c r="H32" s="846" t="s">
        <v>2008</v>
      </c>
    </row>
    <row customHeight="1" ht="9">
      <c r="A33" s="846"/>
      <c r="B33" s="846"/>
      <c r="C33" s="984"/>
      <c r="D33" s="846"/>
      <c r="E33" s="846"/>
      <c r="F33" s="986"/>
      <c r="G33" s="986"/>
      <c r="H33" s="986"/>
    </row>
    <row customHeight="1" ht="9">
      <c r="A34" s="846"/>
      <c r="B34" s="846" t="s">
        <v>1507</v>
      </c>
      <c r="C34" s="984">
        <f>INDEX(TEMPLATE_NAME_FORM_LIST,B34,MATCH(TEMPLATE_SPHERE,TEMPLATE_SPHERE_LIST,0))</f>
        <v>0</v>
      </c>
      <c r="D34" s="846"/>
      <c r="E34" s="846"/>
      <c r="F34" s="986"/>
      <c r="G34" s="986"/>
      <c r="H34" s="986"/>
    </row>
  </sheetData>
  <sheetProtection sort="0" autoFilter="0" insertRows="0" insertColumns="1" deleteRows="0" deleteColumns="0"/>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63.xml><?xml version="1.0" encoding="utf-8"?>
<worksheet xmlns="http://schemas.openxmlformats.org/spreadsheetml/2006/main" xmlns:r="http://schemas.openxmlformats.org/officeDocument/2006/relationships" xmlns:mc="http://schemas.openxmlformats.org/markup-compatibility/2006" xmlns:xdr="http://schemas.openxmlformats.org/drawingml/2006/spreadsheetDrawing" xmlns:x14ac="http://schemas.microsoft.com/office/spreadsheetml/2009/9/ac" xmlns:xr="http://schemas.microsoft.com/office/spreadsheetml/2014/revision" xmlns:xr2="http://schemas.microsoft.com/office/spreadsheetml/2015/revision2" xmlns:xr3="http://schemas.microsoft.com/office/spreadsheetml/2016/revision3" xr:uid="{22B908BA-279C-6A0A-6CA5-B97269B9F075}" mc:Ignorable="x14ac xr xr2 xr3">
  <sheetPr>
    <tabColor rgb="FFFFCC99"/>
  </sheetPr>
  <dimension ref="A1:AY154"/>
  <sheetViews>
    <sheetView topLeftCell="A1" showGridLines="0" workbookViewId="0">
      <selection activeCell="A1" sqref="A1"/>
    </sheetView>
  </sheetViews>
  <sheetFormatPr defaultColWidth="9.140625" customHeight="1" defaultRowHeight="9"/>
  <cols>
    <col min="1" max="2" style="840" width="9.140625"/>
    <col min="3" max="7" style="842" width="8.00390625" customWidth="1"/>
    <col min="8" max="12" style="842" width="8.57421875" customWidth="1"/>
    <col min="13" max="14" style="842" width="27.7109375" customWidth="1"/>
    <col min="15" max="19" style="842" width="5.140625" customWidth="1"/>
    <col min="20" max="24" style="842" width="27.7109375" customWidth="1"/>
    <col min="25" max="25" style="1001" width="1.8515625" customWidth="1"/>
    <col min="26" max="26" style="840" width="27.7109375" customWidth="1"/>
    <col min="27" max="27" style="851" width="27.7109375" customWidth="1"/>
    <col min="28" max="29" style="840" width="27.7109375" customWidth="1"/>
    <col min="30" max="30" style="840" width="3.8515625" customWidth="1"/>
    <col min="31" max="34" style="840" width="9.140625"/>
  </cols>
  <sheetData>
    <row s="839" customFormat="1" customHeight="1" ht="18">
      <c r="A1" s="898"/>
      <c r="B1" s="898"/>
      <c r="C1" s="898" t="s">
        <v>2009</v>
      </c>
      <c r="D1" s="898"/>
      <c r="E1" s="898"/>
      <c r="F1" s="898"/>
      <c r="G1" s="898"/>
      <c r="H1" s="898" t="s">
        <v>2010</v>
      </c>
      <c r="I1" s="898"/>
      <c r="J1" s="898"/>
      <c r="K1" s="898"/>
      <c r="L1" s="898"/>
      <c r="M1" s="898" t="s">
        <v>2011</v>
      </c>
      <c r="N1" s="898" t="s">
        <v>2012</v>
      </c>
      <c r="O1" s="2592" t="s">
        <v>2013</v>
      </c>
      <c r="P1" s="2592"/>
      <c r="Q1" s="2592"/>
      <c r="R1" s="2592"/>
      <c r="S1" s="2592"/>
      <c r="T1" s="2592" t="s">
        <v>2011</v>
      </c>
      <c r="U1" s="2592"/>
      <c r="V1" s="2592"/>
      <c r="W1" s="2592"/>
      <c r="X1" s="2592"/>
      <c r="Y1" s="999"/>
      <c r="Z1" s="2592" t="s">
        <v>2014</v>
      </c>
      <c r="AA1" s="2592"/>
      <c r="AB1" s="2592"/>
      <c r="AC1" s="2592"/>
      <c r="AD1" s="2592"/>
    </row>
    <row customHeight="1" ht="18">
      <c r="A2" s="846"/>
      <c r="B2" s="846"/>
      <c r="C2" s="841" t="s">
        <v>810</v>
      </c>
      <c r="D2" s="841" t="s">
        <v>856</v>
      </c>
      <c r="E2" s="841" t="s">
        <v>909</v>
      </c>
      <c r="F2" s="841" t="s">
        <v>896</v>
      </c>
      <c r="G2" s="841" t="s">
        <v>1619</v>
      </c>
      <c r="H2" s="843"/>
      <c r="I2" s="843"/>
      <c r="J2" s="843"/>
      <c r="K2" s="843"/>
      <c r="L2" s="843"/>
      <c r="M2" s="843"/>
      <c r="N2" s="843"/>
      <c r="O2" s="841" t="s">
        <v>810</v>
      </c>
      <c r="P2" s="841" t="s">
        <v>856</v>
      </c>
      <c r="Q2" s="841" t="s">
        <v>896</v>
      </c>
      <c r="R2" s="841" t="s">
        <v>909</v>
      </c>
      <c r="S2" s="841" t="s">
        <v>1619</v>
      </c>
      <c r="T2" s="841" t="s">
        <v>810</v>
      </c>
      <c r="U2" s="841" t="s">
        <v>856</v>
      </c>
      <c r="V2" s="841" t="s">
        <v>896</v>
      </c>
      <c r="W2" s="841" t="s">
        <v>909</v>
      </c>
      <c r="X2" s="841" t="s">
        <v>1619</v>
      </c>
      <c r="Y2" s="841"/>
      <c r="Z2" s="841" t="s">
        <v>810</v>
      </c>
      <c r="AA2" s="850" t="s">
        <v>856</v>
      </c>
      <c r="AB2" s="841" t="s">
        <v>896</v>
      </c>
      <c r="AC2" s="841" t="s">
        <v>909</v>
      </c>
      <c r="AD2" s="841" t="s">
        <v>1619</v>
      </c>
    </row>
    <row customHeight="1" ht="162">
      <c r="A3" s="845" t="s">
        <v>27</v>
      </c>
      <c r="B3" s="845"/>
      <c r="C3" s="2596" t="s">
        <v>2015</v>
      </c>
      <c r="D3" s="2597"/>
      <c r="E3" s="2597"/>
      <c r="F3" s="2598"/>
      <c r="G3" s="843"/>
      <c r="H3" s="843"/>
      <c r="I3" s="843"/>
      <c r="J3" s="843"/>
      <c r="K3" s="843"/>
      <c r="L3" s="843"/>
      <c r="M3" s="843"/>
      <c r="N3" s="844" t="str">
        <f>INDEX(TEMPLATE_ORG_DATA_POINT,1,MATCH(TEMPLATE_SPHERE,TEMPLATE_SPHERE_LIST_FOR_NOTE,0))</f>
        <v>В случае если регулируемыми организациями,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оказываются услуги по теплоснабжению по нескольким технологически не связанным между собой централизованным системам теплоснабжения, и если в отношении указанных систем устанавливаются различные тарифы в сфере теплоснабжения, то информация раскрывается отдельно по каждой централизованной системе теплоснабжения.</v>
      </c>
      <c r="O3" s="843"/>
      <c r="P3" s="843"/>
      <c r="Q3" s="843"/>
      <c r="R3" s="843"/>
      <c r="S3" s="843"/>
      <c r="T3" s="843"/>
      <c r="U3" s="843"/>
      <c r="V3" s="843"/>
      <c r="W3" s="843"/>
      <c r="X3" s="843"/>
      <c r="Y3" s="1000"/>
      <c r="Z3" s="846" t="s">
        <v>2016</v>
      </c>
      <c r="AA3" s="843" t="s">
        <v>2017</v>
      </c>
      <c r="AB3" s="846" t="s">
        <v>2018</v>
      </c>
      <c r="AC3" s="846" t="s">
        <v>2019</v>
      </c>
      <c r="AD3" s="846"/>
      <c r="AG3" s="846"/>
      <c r="AH3" s="846"/>
    </row>
    <row customHeight="1" ht="9">
      <c r="A4" s="845"/>
      <c r="B4" s="845"/>
      <c r="C4" s="843"/>
      <c r="D4" s="843"/>
      <c r="E4" s="843"/>
      <c r="F4" s="843"/>
      <c r="G4" s="843"/>
      <c r="H4" s="843"/>
      <c r="I4" s="843"/>
      <c r="J4" s="843"/>
      <c r="K4" s="843"/>
      <c r="L4" s="843"/>
      <c r="M4" s="843"/>
      <c r="N4" s="843"/>
      <c r="O4" s="843"/>
      <c r="P4" s="843"/>
      <c r="Q4" s="843"/>
      <c r="R4" s="843"/>
      <c r="S4" s="843"/>
      <c r="T4" s="843"/>
      <c r="U4" s="843"/>
      <c r="V4" s="843"/>
      <c r="W4" s="843"/>
      <c r="X4" s="843"/>
      <c r="Y4" s="1000"/>
      <c r="Z4" s="846"/>
      <c r="AA4" s="849"/>
      <c r="AB4" s="846"/>
      <c r="AC4" s="846"/>
      <c r="AD4" s="846"/>
    </row>
    <row customHeight="1" ht="9">
      <c r="A5" s="845"/>
      <c r="B5" s="845"/>
      <c r="C5" s="843"/>
      <c r="D5" s="843"/>
      <c r="E5" s="843"/>
      <c r="F5" s="843"/>
      <c r="G5" s="843"/>
      <c r="H5" s="843"/>
      <c r="I5" s="843"/>
      <c r="J5" s="843"/>
      <c r="K5" s="843"/>
      <c r="L5" s="843"/>
      <c r="M5" s="843"/>
      <c r="N5" s="843"/>
      <c r="O5" s="843"/>
      <c r="P5" s="843"/>
      <c r="Q5" s="843"/>
      <c r="R5" s="843"/>
      <c r="S5" s="843"/>
      <c r="T5" s="843"/>
      <c r="U5" s="843"/>
      <c r="V5" s="843"/>
      <c r="W5" s="843"/>
      <c r="X5" s="843"/>
      <c r="Y5" s="1000"/>
      <c r="Z5" s="846"/>
      <c r="AA5" s="849"/>
      <c r="AB5" s="846"/>
      <c r="AC5" s="846"/>
      <c r="AD5" s="846"/>
    </row>
    <row customHeight="1" ht="9">
      <c r="A6" s="845"/>
      <c r="B6" s="845"/>
      <c r="C6" s="843"/>
      <c r="D6" s="843"/>
      <c r="E6" s="843"/>
      <c r="F6" s="843"/>
      <c r="G6" s="843"/>
      <c r="H6" s="843"/>
      <c r="I6" s="843"/>
      <c r="J6" s="843"/>
      <c r="K6" s="843"/>
      <c r="L6" s="843"/>
      <c r="M6" s="843"/>
      <c r="N6" s="843"/>
      <c r="O6" s="843"/>
      <c r="P6" s="843"/>
      <c r="Q6" s="843"/>
      <c r="R6" s="843"/>
      <c r="S6" s="843"/>
      <c r="T6" s="843"/>
      <c r="U6" s="843"/>
      <c r="V6" s="843"/>
      <c r="W6" s="843"/>
      <c r="X6" s="843"/>
      <c r="Y6" s="1000"/>
      <c r="Z6" s="846"/>
      <c r="AA6" s="849"/>
      <c r="AB6" s="846"/>
      <c r="AC6" s="846"/>
      <c r="AD6" s="846"/>
    </row>
    <row customHeight="1" ht="9">
      <c r="A7" s="845"/>
      <c r="B7" s="845"/>
      <c r="C7" s="843"/>
      <c r="D7" s="843"/>
      <c r="E7" s="843"/>
      <c r="F7" s="843"/>
      <c r="G7" s="843"/>
      <c r="H7" s="843"/>
      <c r="I7" s="843"/>
      <c r="J7" s="843"/>
      <c r="K7" s="843"/>
      <c r="L7" s="843"/>
      <c r="M7" s="843"/>
      <c r="N7" s="843"/>
      <c r="O7" s="843"/>
      <c r="P7" s="843"/>
      <c r="Q7" s="843"/>
      <c r="R7" s="843"/>
      <c r="S7" s="843"/>
      <c r="T7" s="843"/>
      <c r="U7" s="843"/>
      <c r="V7" s="843"/>
      <c r="W7" s="843"/>
      <c r="X7" s="843"/>
      <c r="Y7" s="1000"/>
      <c r="Z7" s="846"/>
      <c r="AA7" s="849"/>
      <c r="AB7" s="846"/>
      <c r="AC7" s="846"/>
      <c r="AD7" s="846"/>
    </row>
    <row customHeight="1" ht="9">
      <c r="A8" s="845"/>
      <c r="B8" s="845"/>
      <c r="C8" s="843"/>
      <c r="D8" s="843"/>
      <c r="E8" s="843"/>
      <c r="F8" s="843"/>
      <c r="G8" s="843"/>
      <c r="H8" s="843"/>
      <c r="I8" s="843"/>
      <c r="J8" s="843"/>
      <c r="K8" s="843"/>
      <c r="L8" s="843"/>
      <c r="M8" s="843"/>
      <c r="N8" s="843"/>
      <c r="O8" s="843"/>
      <c r="P8" s="843"/>
      <c r="Q8" s="843"/>
      <c r="R8" s="843"/>
      <c r="S8" s="843"/>
      <c r="T8" s="843"/>
      <c r="U8" s="843"/>
      <c r="V8" s="843"/>
      <c r="W8" s="843"/>
      <c r="X8" s="843"/>
      <c r="Y8" s="1000"/>
      <c r="Z8" s="846"/>
      <c r="AA8" s="849"/>
      <c r="AB8" s="846"/>
      <c r="AC8" s="846"/>
      <c r="AD8" s="846"/>
    </row>
    <row customHeight="1" ht="9">
      <c r="A9" s="845"/>
      <c r="B9" s="845"/>
      <c r="C9" s="843"/>
      <c r="D9" s="843"/>
      <c r="E9" s="843"/>
      <c r="F9" s="843"/>
      <c r="G9" s="843"/>
      <c r="H9" s="843"/>
      <c r="I9" s="843"/>
      <c r="J9" s="843"/>
      <c r="K9" s="843"/>
      <c r="L9" s="843"/>
      <c r="M9" s="843"/>
      <c r="N9" s="843"/>
      <c r="O9" s="843"/>
      <c r="P9" s="843"/>
      <c r="Q9" s="843"/>
      <c r="R9" s="843"/>
      <c r="S9" s="843"/>
      <c r="T9" s="843"/>
      <c r="U9" s="843"/>
      <c r="V9" s="843"/>
      <c r="W9" s="843"/>
      <c r="X9" s="843"/>
      <c r="Y9" s="1000"/>
      <c r="Z9" s="846"/>
      <c r="AA9" s="849"/>
      <c r="AB9" s="846"/>
      <c r="AC9" s="846"/>
      <c r="AD9" s="846"/>
    </row>
    <row customHeight="1" ht="9">
      <c r="A10" s="899"/>
      <c r="B10" s="899"/>
      <c r="C10" s="899"/>
      <c r="D10" s="899"/>
      <c r="E10" s="899"/>
      <c r="F10" s="899"/>
      <c r="G10" s="899"/>
      <c r="H10" s="899"/>
      <c r="I10" s="899"/>
      <c r="J10" s="899"/>
      <c r="K10" s="899"/>
      <c r="L10" s="899"/>
      <c r="M10" s="899"/>
      <c r="N10" s="899"/>
      <c r="O10" s="899"/>
      <c r="P10" s="899"/>
      <c r="Q10" s="899"/>
      <c r="R10" s="899"/>
      <c r="S10" s="899"/>
      <c r="T10" s="899"/>
      <c r="U10" s="899"/>
      <c r="V10" s="899"/>
      <c r="W10" s="899"/>
      <c r="X10" s="899"/>
      <c r="Y10" s="899"/>
      <c r="Z10" s="899"/>
      <c r="AA10" s="899"/>
      <c r="AB10" s="899"/>
      <c r="AC10" s="899"/>
      <c r="AD10" s="899"/>
    </row>
    <row customHeight="1" ht="45">
      <c r="A11" s="2593" t="s">
        <v>33</v>
      </c>
      <c r="B11" s="899">
        <v>1</v>
      </c>
      <c r="C11" s="2599" t="s">
        <v>99</v>
      </c>
      <c r="D11" s="2599" t="s">
        <v>1554</v>
      </c>
      <c r="E11" s="2599" t="s">
        <v>1651</v>
      </c>
      <c r="F11" s="2599" t="s">
        <v>2020</v>
      </c>
      <c r="G11" s="2599"/>
      <c r="H11" s="898" t="s">
        <v>2021</v>
      </c>
      <c r="I11" s="898"/>
      <c r="J11" s="898"/>
      <c r="K11" s="898"/>
      <c r="L11" s="898"/>
      <c r="M11" s="844" t="str">
        <f>IF(TEMPLATE_SPHERE="HEAT",T11,U11)</f>
        <v>Количество поданных заявок</v>
      </c>
      <c r="N11" s="844" t="str">
        <f>IF(TEMPLATE_SPHERE="HEAT",Z11,AA11)</f>
        <v>Указывается количество поданных заявок на подключение (технологическое присоединение) к системе теплоснабжения в течение отчетного квартала.</v>
      </c>
      <c r="O11" s="843"/>
      <c r="P11" s="843"/>
      <c r="Q11" s="843"/>
      <c r="R11" s="843"/>
      <c r="S11" s="843"/>
      <c r="T11" s="843" t="s">
        <v>2022</v>
      </c>
      <c r="U11" s="843" t="s">
        <v>2023</v>
      </c>
      <c r="V11" s="843"/>
      <c r="W11" s="843"/>
      <c r="X11" s="843"/>
      <c r="Y11" s="1000"/>
      <c r="Z11" s="846" t="s">
        <v>2024</v>
      </c>
      <c r="AA11" s="849" t="str">
        <f>"Указывается количество поданных заявлений о заключении договоров о подключении (технологическом присоединении) к централизованной системе "&amp;TEMPLATE_SPHERE_RUS&amp;" в течение одного квартала."</f>
        <v>Указывается количество поданных заявлений о заключении договоров о подключении (технологическом присоединении) к централизованной системе теплоснабжения в течение одного квартала.</v>
      </c>
      <c r="AB11" s="846"/>
      <c r="AC11" s="846"/>
      <c r="AD11" s="846"/>
    </row>
    <row customHeight="1" ht="45">
      <c r="A12" s="2593"/>
      <c r="B12" s="899">
        <v>2</v>
      </c>
      <c r="C12" s="2600"/>
      <c r="D12" s="2600"/>
      <c r="E12" s="2600"/>
      <c r="F12" s="2600"/>
      <c r="G12" s="2600"/>
      <c r="H12" s="898" t="s">
        <v>2025</v>
      </c>
      <c r="I12" s="898"/>
      <c r="J12" s="898"/>
      <c r="K12" s="898"/>
      <c r="L12" s="898"/>
      <c r="M12" s="844" t="str">
        <f>IF(TEMPLATE_SPHERE="HEAT",T12,U12)</f>
        <v>Количество рассмотренных заявок</v>
      </c>
      <c r="N12" s="844" t="str">
        <f>IF(TEMPLATE_SPHERE="HEAT",Z12,AA12)</f>
        <v>Указывается количество исполненных заявок на подключение (технологическое присоединение) к системе теплоснабжения в течение отчетного квартала.</v>
      </c>
      <c r="O12" s="843"/>
      <c r="P12" s="843"/>
      <c r="Q12" s="843"/>
      <c r="R12" s="843"/>
      <c r="S12" s="843"/>
      <c r="T12" s="843" t="s">
        <v>2026</v>
      </c>
      <c r="U12" s="843" t="s">
        <v>2027</v>
      </c>
      <c r="V12" s="843"/>
      <c r="W12" s="843"/>
      <c r="X12" s="843"/>
      <c r="Y12" s="1000"/>
      <c r="Z12" s="846" t="s">
        <v>2028</v>
      </c>
      <c r="AA12" s="849" t="str">
        <f>"Указывается количество исполненных заявлений о заключении договоров о подключении (технологическом присоединении) к централизованной системе "&amp;TEMPLATE_SPHERE_RUS&amp;" в течение одного квартала."</f>
        <v>Указывается количество исполненных заявлений о заключении договоров о подключении (технологическом присоединении) к централизованной системе теплоснабжения в течение одного квартала.</v>
      </c>
      <c r="AB12" s="846"/>
      <c r="AC12" s="846"/>
      <c r="AD12" s="846"/>
    </row>
    <row customHeight="1" ht="72">
      <c r="A13" s="2593"/>
      <c r="B13" s="899">
        <v>3</v>
      </c>
      <c r="C13" s="2600"/>
      <c r="D13" s="2600"/>
      <c r="E13" s="2600"/>
      <c r="F13" s="2600"/>
      <c r="G13" s="2600"/>
      <c r="H13" s="2592" t="s">
        <v>2029</v>
      </c>
      <c r="I13" s="898"/>
      <c r="J13" s="898"/>
      <c r="K13" s="898"/>
      <c r="L13" s="898"/>
      <c r="M13" s="844" t="str">
        <f>IF(TEMPLATE_SPHERE="HEAT",T13,U13)</f>
        <v>Количество заявок на заключение договора о подключении (технологическом присоединении) к системе теплоснабжения, по которым регулируемой организацией отказано в заключении договора о подключении (технологическом присоединении) к системе теплоснабжения</v>
      </c>
      <c r="N13" s="844" t="str">
        <f>IF(TEMPLATE_SPHERE="HEAT",Z13,AA13)</f>
        <v>Указывается количество заявок с решением об отказе в течение отчетного квартала.</v>
      </c>
      <c r="O13" s="843"/>
      <c r="P13" s="844"/>
      <c r="Q13" s="844"/>
      <c r="R13" s="844"/>
      <c r="S13" s="843"/>
      <c r="T13" s="843" t="s">
        <v>2030</v>
      </c>
      <c r="U13" s="844" t="s">
        <v>2031</v>
      </c>
      <c r="V13" s="844"/>
      <c r="W13" s="844"/>
      <c r="X13" s="843"/>
      <c r="Y13" s="1000"/>
      <c r="Z13" s="846" t="s">
        <v>2032</v>
      </c>
      <c r="AA13" s="849" t="str">
        <f>"Указывается количество заявлений о заключении договоров о подключении (технологическом присоединении) к централизованной системе "&amp;TEMPLATE_SPHERE_RUS&amp;", по которым организацией "&amp;TEMPLATE_SPHERE_RUS&amp;" отказано в заключении договора о подключении (технологическом присоединении) к централизованной системе "&amp;TEMPLATE_SPHERE_RUS&amp;" с указанием причин, в течение одного квартала."</f>
        <v>Указывается количество заявлений о заключении договоров о подключении (технологическом присоединении) к централизованной системе теплоснабжения, по которым организацией теплоснабжения отказано в заключении договора о подключении (технологическом присоединении) к централизованной системе теплоснабжения с указанием причин, в течение одного квартала.</v>
      </c>
      <c r="AB13" s="846"/>
      <c r="AC13" s="846"/>
      <c r="AD13" s="846"/>
    </row>
    <row customHeight="1" ht="45">
      <c r="A14" s="2593"/>
      <c r="B14" s="899">
        <v>4</v>
      </c>
      <c r="C14" s="2600"/>
      <c r="D14" s="2600"/>
      <c r="E14" s="2600"/>
      <c r="F14" s="2600"/>
      <c r="G14" s="2600"/>
      <c r="H14" s="2592"/>
      <c r="I14" s="901"/>
      <c r="J14" s="901"/>
      <c r="K14" s="901"/>
      <c r="L14" s="901"/>
      <c r="M14" s="847" t="str">
        <f>IF(TEMPLATE_SPHERE="HEAT",T14,U14)</f>
        <v>Причины отказа в заключении договора о подключении (технологическом присоединении) к системе теплоснабжения</v>
      </c>
      <c r="N14" s="844" t="str">
        <f>IF(TEMPLATE_SPHERE="HEAT",Z14,AA14)</f>
        <v>Указывается текстовое описание причин принятия решений.
Не заполняется в случае, если решения об отказе в течение отчетного периода не принимались.</v>
      </c>
      <c r="O14" s="843"/>
      <c r="P14" s="844"/>
      <c r="Q14" s="844"/>
      <c r="R14" s="844"/>
      <c r="S14" s="843"/>
      <c r="T14" s="843" t="s">
        <v>2033</v>
      </c>
      <c r="U14" s="844" t="str">
        <f>"Причины отказа в заключении договора о подключении (технологическом присоединении) к централизованной системе "&amp;TEMPLATE_SPHERE_RUS</f>
        <v>Причины отказа в заключении договора о подключении (технологическом присоединении) к централизованной системе теплоснабжения</v>
      </c>
      <c r="V14" s="844"/>
      <c r="W14" s="844"/>
      <c r="X14" s="843"/>
      <c r="Y14" s="1000"/>
      <c r="Z14" s="846" t="s">
        <v>2034</v>
      </c>
      <c r="AA14" s="849" t="s">
        <v>2034</v>
      </c>
      <c r="AB14" s="846"/>
      <c r="AC14" s="846"/>
      <c r="AD14" s="846"/>
    </row>
    <row customHeight="1" ht="108">
      <c r="A15" s="2593"/>
      <c r="B15" s="899">
        <v>5</v>
      </c>
      <c r="C15" s="2600"/>
      <c r="D15" s="2600"/>
      <c r="E15" s="2600"/>
      <c r="F15" s="2600"/>
      <c r="G15" s="2600"/>
      <c r="H15" s="2594" t="s">
        <v>2035</v>
      </c>
      <c r="I15" s="900"/>
      <c r="J15" s="900"/>
      <c r="K15" s="900"/>
      <c r="L15" s="900"/>
      <c r="M15" s="849" t="str">
        <f>IF(TEMPLATE_SPHERE="HEAT",T15,U15)</f>
        <v>Резерв мощности источников тепловой энергии, входящих в систему теплоснабжения, в течение одного квартала, в том числе:</v>
      </c>
      <c r="N15" s="848" t="str">
        <f>IF(TEMPLATE_SPHERE="HEAT",Z15,AA15)</f>
        <v>Указывается резерв мощности для системы теплоснабжения, тариф для которой не является отличным от тарифов других систем теплоснабжения регулируемой организации.
При использовании регулируемой организацией нескольких систем теплоснабжения информация о резерве мощности источников тепловой энергии таких систем раскрывается в отношении каждой системы теплоснабжения в отдельных строках. </v>
      </c>
      <c r="O15" s="843"/>
      <c r="P15" s="844"/>
      <c r="Q15" s="844"/>
      <c r="R15" s="844"/>
      <c r="S15" s="843"/>
      <c r="T15" s="843" t="s">
        <v>2036</v>
      </c>
      <c r="U15" s="844" t="str">
        <f>"Наличие свободной мощности (резерва мощности) на соответствующих объектах централизованных систем "&amp;TEMPLATE_SPHERE_RUS&amp;" в течение одного квартала, в том числе:"</f>
        <v>Наличие свободной мощности (резерва мощности) на соответствующих объектах централизованных систем теплоснабжения в течение одного квартала, в том числе:</v>
      </c>
      <c r="V15" s="844"/>
      <c r="W15" s="844"/>
      <c r="X15" s="843"/>
      <c r="Y15" s="1000"/>
      <c r="Z15" s="846" t="s">
        <v>2037</v>
      </c>
      <c r="AA15" s="849" t="str">
        <f>"Указывается наличие свободной мощности (резерв мощности) на соответствующих объектах централизованной системы "&amp;TEMPLATE_SPHERE_RUS&amp;" (совокупности централизованных систем "&amp;TEMPLATE_SPHERE_RUS&amp;") в случае, если для них установлены одинаковые тарифы в сфере "&amp;TEMPLATE_SPHERE_RUS&amp;".
В случае если регулируемыми организациями оказываются услуги "&amp;TEMPLATE_SPHERE_RUS&amp;" по нескольким технологически не связанным между собой централизованным системам "&amp;TEMPLATE_SPHERE_RUS&amp;", и если в отношении указанных систем устанавливаются различные тарифы в сфере "&amp;TEMPLATE_SPHERE_RUS&amp;", то информация раскрывается отдельно по каждой централизованной системе "&amp;TEMPLATE_SPHERE_RUS&amp;"."</f>
        <v>Указывается наличие свободной мощности (резерв мощности) на соответствующих объектах централизованной системы теплоснабжения (совокупности централизованных систем теплоснабжения) в случае, если для них установлены одинаковые тарифы в сфере теплоснабжения.
В случае если регулируемыми организациями оказываются услуги теплоснабжения по нескольким технологически не связанным между собой централизованным системам теплоснабжения, и если в отношении указанных систем устанавливаются различные тарифы в сфере теплоснабжения, то информация раскрывается отдельно по каждой централизованной системе теплоснабжения.</v>
      </c>
      <c r="AB15" s="846"/>
      <c r="AC15" s="846"/>
      <c r="AD15" s="846"/>
    </row>
    <row customHeight="1" ht="108">
      <c r="A16" s="899"/>
      <c r="B16" s="899">
        <v>6</v>
      </c>
      <c r="C16" s="2601"/>
      <c r="D16" s="2601"/>
      <c r="E16" s="2601"/>
      <c r="F16" s="2601"/>
      <c r="G16" s="2601"/>
      <c r="H16" s="2595"/>
      <c r="I16" s="962"/>
      <c r="J16" s="962"/>
      <c r="K16" s="962"/>
      <c r="L16" s="962"/>
      <c r="M16" s="892"/>
      <c r="N16" s="848" t="str">
        <f>IF(TEMPLATE_SPHERE="HEAT",Z16,AA16)</f>
        <v>Указывается резерв мощности для системы теплоснабжения, тариф для которой не является отличным от тарифов других систем теплоснабжения регулируемой организации.
При использовании регулируемой организацией нескольких систем теплоснабжения информация о резерве мощности источников тепловой энергии таких систем раскрывается в отношении каждой системы теплоснабжения в отдельных строках. </v>
      </c>
      <c r="O16" s="843"/>
      <c r="P16" s="844"/>
      <c r="Q16" s="844"/>
      <c r="R16" s="844"/>
      <c r="S16" s="843"/>
      <c r="T16" s="843"/>
      <c r="U16" s="844"/>
      <c r="V16" s="844"/>
      <c r="W16" s="844"/>
      <c r="X16" s="843"/>
      <c r="Y16" s="1000"/>
      <c r="Z16" s="846" t="s">
        <v>2037</v>
      </c>
      <c r="AA16" s="849" t="str">
        <f>"Указывается наличие свободной мощности (резерв мощности) для централизованной системы "&amp;TEMPLATE_SPHERE_RUS&amp;", тариф для которой не является отличным от тарифов других централизованных систем "&amp;TEMPLATE_SPHERE_RUS&amp;" регулируемой организации.
При использовании регулируемой организацией нескольких централизованных систем "&amp;TEMPLATE_SPHERE_RUS&amp;" информация о наличии свободной мощности (резерве мощности) на соответствующих объектах централизованных систем "&amp;TEMPLATE_SPHERE_RUS&amp;" публикуется в отношении каждой централизованной системы "&amp;TEMPLATE_SPHERE_RUS&amp;" в отдельных строках."</f>
        <v>Указывается наличие свободной мощности (резерв мощности) для централизованной системы теплоснабжения, тариф для которой не является отличным от тарифов других централизованных систем теплоснабжения регулируемой организации.
При использовании регулируемой организацией нескольких централизованных систем теплоснабжения информация о наличии свободной мощности (резерве мощности) на соответствующих объектах централизованных систем теплоснабжения публикуется в отношении каждой централизованной системы теплоснабжения в отдельных строках.</v>
      </c>
      <c r="AB16" s="846"/>
      <c r="AC16" s="846"/>
      <c r="AD16" s="846"/>
    </row>
    <row customHeight="1" ht="9">
      <c r="A17" s="899"/>
      <c r="B17" s="899"/>
      <c r="C17" s="899">
        <v>22</v>
      </c>
      <c r="D17" s="899">
        <v>21</v>
      </c>
      <c r="E17" s="899">
        <v>42</v>
      </c>
      <c r="F17" s="899">
        <v>63</v>
      </c>
      <c r="G17" s="899"/>
      <c r="H17" s="899"/>
      <c r="I17" s="899"/>
      <c r="J17" s="899"/>
      <c r="K17" s="899"/>
      <c r="L17" s="899"/>
      <c r="M17" s="899"/>
      <c r="N17" s="899"/>
      <c r="O17" s="899"/>
      <c r="P17" s="899"/>
      <c r="Q17" s="899"/>
      <c r="R17" s="899"/>
      <c r="S17" s="899"/>
      <c r="T17" s="899"/>
      <c r="U17" s="899"/>
      <c r="V17" s="899"/>
      <c r="W17" s="899"/>
      <c r="X17" s="899"/>
      <c r="Y17" s="899"/>
      <c r="Z17" s="899"/>
      <c r="AA17" s="899"/>
      <c r="AB17" s="899"/>
      <c r="AC17" s="899"/>
      <c r="AD17" s="899"/>
    </row>
    <row customHeight="1" ht="27">
      <c r="A18" s="845" t="s">
        <v>1654</v>
      </c>
      <c r="B18" s="899">
        <v>1</v>
      </c>
      <c r="C18" s="843" t="s">
        <v>2021</v>
      </c>
      <c r="D18" s="967" t="s">
        <v>2021</v>
      </c>
      <c r="E18" s="843" t="s">
        <v>2021</v>
      </c>
      <c r="F18" s="843" t="s">
        <v>2021</v>
      </c>
      <c r="G18" s="843"/>
      <c r="H18" s="1002"/>
      <c r="I18" s="1005">
        <f>INDEX(TEMPLATE_NUMBER_POINT_FHD,B18,MATCH(TEMPLATE_SPHERE,TEMPLATE_SPHERE_LIST_FOR_NOTE,0))</f>
        <v>1</v>
      </c>
      <c r="J18" s="1005" t="str">
        <f>INDEX(TEMPLATE_DATA_POINT_FHD,B18,MATCH(TEMPLATE_SPHERE,TEMPLATE_SPHERE_LIST_FOR_NOTE,0))</f>
        <v>Выручка от регулируемого вида деятельности с распределением по видам деятельности</v>
      </c>
      <c r="K18" s="1005" t="str">
        <f>INDEX(TEMPLATE_NOTE_POINT_FHD,B18,MATCH(TEMPLATE_SPHERE,TEMPLATE_SPHERE_LIST_FOR_NOTE,0))</f>
        <v>Указывается выручка от регулируемого вида деятельности с распределением по видам деятельности.</v>
      </c>
      <c r="L18" s="844">
        <f>IF(I18=0,"",I18)</f>
        <v>1</v>
      </c>
      <c r="M18" s="844" t="str">
        <f>IF(J18=0,"",J18)</f>
        <v>Выручка от регулируемого вида деятельности с распределением по видам деятельности</v>
      </c>
      <c r="N18" s="844" t="str">
        <f>IF(K18=0,"",K18)</f>
        <v>Указывается выручка от регулируемого вида деятельности с распределением по видам деятельности.</v>
      </c>
      <c r="O18" s="957">
        <v>1</v>
      </c>
      <c r="P18" s="957">
        <v>1</v>
      </c>
      <c r="Q18" s="957">
        <v>1</v>
      </c>
      <c r="R18" s="957">
        <v>1</v>
      </c>
      <c r="S18" s="957"/>
      <c r="T18" s="964" t="s">
        <v>2038</v>
      </c>
      <c r="U18" s="846" t="s">
        <v>2039</v>
      </c>
      <c r="V18" s="846" t="s">
        <v>2040</v>
      </c>
      <c r="W18" s="846" t="s">
        <v>2041</v>
      </c>
      <c r="X18" s="843"/>
      <c r="Y18" s="1000"/>
      <c r="Z18" s="846" t="s">
        <v>2042</v>
      </c>
      <c r="AA18" s="849" t="s">
        <v>2043</v>
      </c>
      <c r="AB18" s="849" t="s">
        <v>2043</v>
      </c>
      <c r="AC18" s="849" t="s">
        <v>2043</v>
      </c>
      <c r="AD18" s="846"/>
    </row>
    <row customHeight="1" ht="36">
      <c r="A19" s="845"/>
      <c r="B19" s="899">
        <v>2</v>
      </c>
      <c r="C19" s="843" t="s">
        <v>2025</v>
      </c>
      <c r="D19" s="967" t="s">
        <v>2025</v>
      </c>
      <c r="E19" s="843" t="s">
        <v>2025</v>
      </c>
      <c r="F19" s="843" t="s">
        <v>2025</v>
      </c>
      <c r="G19" s="843"/>
      <c r="H19" s="1002"/>
      <c r="I19" s="1005">
        <f>INDEX(TEMPLATE_NUMBER_POINT_FHD,B19,MATCH(TEMPLATE_SPHERE,TEMPLATE_SPHERE_LIST_FOR_NOTE,0))</f>
        <v>2</v>
      </c>
      <c r="J19" s="1005" t="str">
        <f>INDEX(TEMPLATE_DATA_POINT_FHD,B19,MATCH(TEMPLATE_SPHERE,TEMPLATE_SPHERE_LIST_FOR_NOTE,0))</f>
        <v>Себестоимость производимых товаров (оказываемых услуг) по регулируемому виду деятельности, включая:</v>
      </c>
      <c r="K19" s="1005" t="str">
        <f>INDEX(TEMPLATE_NOTE_POINT_FHD,B19,MATCH(TEMPLATE_SPHERE,TEMPLATE_SPHERE_LIST_FOR_NOTE,0))</f>
        <v>Указывается суммарная себестоимость производимых товаров.</v>
      </c>
      <c r="L19" s="844">
        <f>IF(I19=0,"",I19)</f>
        <v>2</v>
      </c>
      <c r="M19" s="844" t="str">
        <f>IF(J19=0,"",J19)</f>
        <v>Себестоимость производимых товаров (оказываемых услуг) по регулируемому виду деятельности, включая:</v>
      </c>
      <c r="N19" s="844" t="str">
        <f>IF(K19=0,"",K19)</f>
        <v>Указывается суммарная себестоимость производимых товаров.</v>
      </c>
      <c r="O19" s="957">
        <v>2</v>
      </c>
      <c r="P19" s="957">
        <v>2</v>
      </c>
      <c r="Q19" s="957">
        <v>2</v>
      </c>
      <c r="R19" s="957">
        <v>2</v>
      </c>
      <c r="S19" s="957"/>
      <c r="T19" s="964" t="s">
        <v>2044</v>
      </c>
      <c r="U19" s="846" t="s">
        <v>2045</v>
      </c>
      <c r="V19" s="846" t="s">
        <v>2046</v>
      </c>
      <c r="W19" s="846" t="s">
        <v>2047</v>
      </c>
      <c r="X19" s="843"/>
      <c r="Y19" s="1000"/>
      <c r="Z19" s="846" t="s">
        <v>2048</v>
      </c>
      <c r="AA19" s="849" t="s">
        <v>2048</v>
      </c>
      <c r="AB19" s="849" t="s">
        <v>2048</v>
      </c>
      <c r="AC19" s="849" t="s">
        <v>2048</v>
      </c>
      <c r="AD19" s="846"/>
    </row>
    <row customHeight="1" ht="27">
      <c r="A20" s="845"/>
      <c r="B20" s="899">
        <v>3</v>
      </c>
      <c r="C20" s="843">
        <v>1</v>
      </c>
      <c r="D20" s="967"/>
      <c r="E20" s="843"/>
      <c r="F20" s="843"/>
      <c r="G20" s="843"/>
      <c r="H20" s="1002"/>
      <c r="I20" s="1005" t="str">
        <f>INDEX(TEMPLATE_NUMBER_POINT_FHD,B20,MATCH(TEMPLATE_SPHERE,TEMPLATE_SPHERE_LIST_FOR_NOTE,0))</f>
        <v>2.1</v>
      </c>
      <c r="J20" s="1005" t="str">
        <f>INDEX(TEMPLATE_DATA_POINT_FHD,B20,MATCH(TEMPLATE_SPHERE,TEMPLATE_SPHERE_LIST_FOR_NOTE,0))</f>
        <v>Расходы на приобретаемую тепловую энергию (мощность), теплоноситель</v>
      </c>
      <c r="K20" s="1005">
        <f>INDEX(TEMPLATE_NOTE_POINT_FHD,B20,MATCH(TEMPLATE_SPHERE,TEMPLATE_SPHERE_LIST_FOR_NOTE,0))</f>
        <v>0</v>
      </c>
      <c r="L20" s="844" t="str">
        <f>IF(I20=0,"",I20)</f>
        <v>2.1</v>
      </c>
      <c r="M20" s="844" t="str">
        <f>IF(J20=0,"",J20)</f>
        <v>Расходы на приобретаемую тепловую энергию (мощность), теплоноситель</v>
      </c>
      <c r="N20" s="844" t="str">
        <f>IF(K20=0,"",K20)</f>
        <v/>
      </c>
      <c r="O20" s="957" t="s">
        <v>711</v>
      </c>
      <c r="P20" s="957" t="s">
        <v>711</v>
      </c>
      <c r="Q20" s="957" t="s">
        <v>711</v>
      </c>
      <c r="R20" s="957" t="s">
        <v>711</v>
      </c>
      <c r="S20" s="957"/>
      <c r="T20" s="964" t="s">
        <v>2049</v>
      </c>
      <c r="U20" s="846" t="s">
        <v>2050</v>
      </c>
      <c r="V20" s="846" t="s">
        <v>2051</v>
      </c>
      <c r="W20" s="846" t="s">
        <v>2052</v>
      </c>
      <c r="X20" s="843"/>
      <c r="Y20" s="1000"/>
      <c r="Z20" s="846"/>
      <c r="AA20" s="849"/>
      <c r="AB20" s="846"/>
      <c r="AC20" s="846"/>
      <c r="AD20" s="846"/>
    </row>
    <row customHeight="1" ht="36">
      <c r="A21" s="845"/>
      <c r="B21" s="899">
        <v>4</v>
      </c>
      <c r="C21" s="843">
        <v>2</v>
      </c>
      <c r="D21" s="967"/>
      <c r="E21" s="843"/>
      <c r="F21" s="843"/>
      <c r="G21" s="843"/>
      <c r="H21" s="1002"/>
      <c r="I21" s="1005" t="str">
        <f>INDEX(TEMPLATE_NUMBER_POINT_FHD,B21,MATCH(TEMPLATE_SPHERE,TEMPLATE_SPHERE_LIST_FOR_NOTE,0))</f>
        <v>2.2</v>
      </c>
      <c r="J21" s="1005" t="str">
        <f>INDEX(TEMPLATE_DATA_POINT_FHD,B21,MATCH(TEMPLATE_SPHERE,TEMPLATE_SPHERE_LIST_FOR_NOTE,0))</f>
        <v>Расходы на топливо с указанием по каждому виду топлива стоимости (за единицу объема), объема и способа его приобретения, стоимости его доставки</v>
      </c>
      <c r="K21" s="1005" t="str">
        <f>INDEX(TEMPLATE_NOTE_POINT_FHD,B21,MATCH(TEMPLATE_SPHERE,TEMPLATE_SPHERE_LIST_FOR_NOTE,0))</f>
        <v>Указываются суммарные расходы на приобретение топлива всех видов.</v>
      </c>
      <c r="L21" s="844" t="str">
        <f>IF(I21=0,"",I21)</f>
        <v>2.2</v>
      </c>
      <c r="M21" s="844" t="str">
        <f>IF(J21=0,"",J21)</f>
        <v>Расходы на топливо с указанием по каждому виду топлива стоимости (за единицу объема), объема и способа его приобретения, стоимости его доставки</v>
      </c>
      <c r="N21" s="844" t="str">
        <f>IF(K21=0,"",K21)</f>
        <v>Указываются суммарные расходы на приобретение топлива всех видов.</v>
      </c>
      <c r="O21" s="957" t="s">
        <v>309</v>
      </c>
      <c r="P21" s="957"/>
      <c r="Q21" s="957"/>
      <c r="R21" s="957"/>
      <c r="S21" s="957"/>
      <c r="T21" s="964" t="s">
        <v>2053</v>
      </c>
      <c r="U21" s="846"/>
      <c r="V21" s="846"/>
      <c r="W21" s="846"/>
      <c r="X21" s="843"/>
      <c r="Y21" s="1000"/>
      <c r="Z21" s="846" t="s">
        <v>2054</v>
      </c>
      <c r="AA21" s="849"/>
      <c r="AB21" s="846"/>
      <c r="AC21" s="846"/>
      <c r="AD21" s="846"/>
    </row>
    <row customHeight="1" ht="36">
      <c r="A22" s="845"/>
      <c r="B22" s="899">
        <v>5</v>
      </c>
      <c r="C22" s="843">
        <v>3</v>
      </c>
      <c r="D22" s="967"/>
      <c r="E22" s="843"/>
      <c r="F22" s="843"/>
      <c r="G22" s="891"/>
      <c r="H22" s="958"/>
      <c r="I22" s="1005">
        <f>INDEX(TEMPLATE_NUMBER_POINT_FHD,B22,MATCH(TEMPLATE_SPHERE,TEMPLATE_SPHERE_LIST_FOR_NOTE,0))</f>
        <v>0</v>
      </c>
      <c r="J22" s="1005">
        <f>INDEX(TEMPLATE_DATA_POINT_FHD,B22,MATCH(TEMPLATE_SPHERE,TEMPLATE_SPHERE_LIST_FOR_NOTE,0))</f>
        <v>0</v>
      </c>
      <c r="K22" s="1005">
        <f>INDEX(TEMPLATE_NOTE_POINT_FHD,B22,MATCH(TEMPLATE_SPHERE,TEMPLATE_SPHERE_LIST_FOR_NOTE,0))</f>
        <v>0</v>
      </c>
      <c r="L22" s="844" t="str">
        <f>IF(I22=0,"",I22)</f>
        <v/>
      </c>
      <c r="M22" s="844" t="str">
        <f>IF(J22=0,"",J22)</f>
        <v/>
      </c>
      <c r="N22" s="844" t="str">
        <f>IF(K22=0,"",K22)</f>
        <v/>
      </c>
      <c r="O22" s="957"/>
      <c r="P22" s="957"/>
      <c r="Q22" s="957" t="s">
        <v>309</v>
      </c>
      <c r="R22" s="957"/>
      <c r="S22" s="957"/>
      <c r="T22" s="964"/>
      <c r="U22" s="846"/>
      <c r="V22" s="846" t="s">
        <v>2055</v>
      </c>
      <c r="W22" s="846"/>
      <c r="X22" s="843"/>
      <c r="Y22" s="1000"/>
      <c r="Z22" s="846"/>
      <c r="AA22" s="849"/>
      <c r="AB22" s="846"/>
      <c r="AC22" s="846"/>
      <c r="AD22" s="846"/>
    </row>
    <row customHeight="1" ht="27">
      <c r="A23" s="845"/>
      <c r="B23" s="899">
        <v>6</v>
      </c>
      <c r="C23" s="843">
        <v>4</v>
      </c>
      <c r="D23" s="967"/>
      <c r="E23" s="843"/>
      <c r="F23" s="843"/>
      <c r="G23" s="891"/>
      <c r="H23" s="958"/>
      <c r="I23" s="1005">
        <f>INDEX(TEMPLATE_NUMBER_POINT_FHD,B23,MATCH(TEMPLATE_SPHERE,TEMPLATE_SPHERE_LIST_FOR_NOTE,0))</f>
        <v>0</v>
      </c>
      <c r="J23" s="1005">
        <f>INDEX(TEMPLATE_DATA_POINT_FHD,B23,MATCH(TEMPLATE_SPHERE,TEMPLATE_SPHERE_LIST_FOR_NOTE,0))</f>
        <v>0</v>
      </c>
      <c r="K23" s="1005">
        <f>INDEX(TEMPLATE_NOTE_POINT_FHD,B23,MATCH(TEMPLATE_SPHERE,TEMPLATE_SPHERE_LIST_FOR_NOTE,0))</f>
        <v>0</v>
      </c>
      <c r="L23" s="844" t="str">
        <f>IF(I23=0,"",I23)</f>
        <v/>
      </c>
      <c r="M23" s="844" t="str">
        <f>IF(J23=0,"",J23)</f>
        <v/>
      </c>
      <c r="N23" s="844" t="str">
        <f>IF(K23=0,"",K23)</f>
        <v/>
      </c>
      <c r="O23" s="957"/>
      <c r="P23" s="957"/>
      <c r="Q23" s="957" t="s">
        <v>312</v>
      </c>
      <c r="R23" s="957"/>
      <c r="S23" s="957"/>
      <c r="T23" s="964"/>
      <c r="U23" s="846"/>
      <c r="V23" s="846" t="s">
        <v>2056</v>
      </c>
      <c r="W23" s="846"/>
      <c r="X23" s="843"/>
      <c r="Y23" s="1000"/>
      <c r="Z23" s="846"/>
      <c r="AA23" s="849"/>
      <c r="AB23" s="846"/>
      <c r="AC23" s="846"/>
      <c r="AD23" s="846"/>
    </row>
    <row customHeight="1" ht="36">
      <c r="A24" s="845"/>
      <c r="B24" s="899">
        <v>7</v>
      </c>
      <c r="C24" s="843">
        <v>5</v>
      </c>
      <c r="D24" s="967"/>
      <c r="E24" s="843"/>
      <c r="F24" s="843"/>
      <c r="G24" s="891"/>
      <c r="H24" s="958"/>
      <c r="I24" s="1005">
        <f>INDEX(TEMPLATE_NUMBER_POINT_FHD,B24,MATCH(TEMPLATE_SPHERE,TEMPLATE_SPHERE_LIST_FOR_NOTE,0))</f>
        <v>0</v>
      </c>
      <c r="J24" s="1005">
        <f>INDEX(TEMPLATE_DATA_POINT_FHD,B24,MATCH(TEMPLATE_SPHERE,TEMPLATE_SPHERE_LIST_FOR_NOTE,0))</f>
        <v>0</v>
      </c>
      <c r="K24" s="1005">
        <f>INDEX(TEMPLATE_NOTE_POINT_FHD,B24,MATCH(TEMPLATE_SPHERE,TEMPLATE_SPHERE_LIST_FOR_NOTE,0))</f>
        <v>0</v>
      </c>
      <c r="L24" s="844" t="str">
        <f>IF(I24=0,"",I24)</f>
        <v/>
      </c>
      <c r="M24" s="844" t="str">
        <f>IF(J24=0,"",J24)</f>
        <v/>
      </c>
      <c r="N24" s="844" t="str">
        <f>IF(K24=0,"",K24)</f>
        <v/>
      </c>
      <c r="O24" s="957"/>
      <c r="P24" s="957"/>
      <c r="Q24" s="957" t="s">
        <v>731</v>
      </c>
      <c r="R24" s="957"/>
      <c r="S24" s="957"/>
      <c r="T24" s="964"/>
      <c r="U24" s="846"/>
      <c r="V24" s="846" t="s">
        <v>2057</v>
      </c>
      <c r="W24" s="846"/>
      <c r="X24" s="843"/>
      <c r="Y24" s="1000"/>
      <c r="Z24" s="846"/>
      <c r="AA24" s="849"/>
      <c r="AB24" s="846"/>
      <c r="AC24" s="846"/>
      <c r="AD24" s="846"/>
    </row>
    <row customHeight="1" ht="36">
      <c r="A25" s="845"/>
      <c r="B25" s="899">
        <v>8</v>
      </c>
      <c r="C25" s="843">
        <v>6</v>
      </c>
      <c r="D25" s="967"/>
      <c r="E25" s="843"/>
      <c r="F25" s="843"/>
      <c r="G25" s="891"/>
      <c r="H25" s="958"/>
      <c r="I25" s="1005" t="str">
        <f>INDEX(TEMPLATE_NUMBER_POINT_FHD,B25,MATCH(TEMPLATE_SPHERE,TEMPLATE_SPHERE_LIST_FOR_NOTE,0))</f>
        <v>2.3</v>
      </c>
      <c r="J25" s="1005" t="str">
        <f>INDEX(TEMPLATE_DATA_POINT_FHD,B25,MATCH(TEMPLATE_SPHERE,TEMPLATE_SPHERE_LIST_FOR_NOTE,0))</f>
        <v>Расходы на приобретаемую электрическую энергию (мощность), используемую в технологическом процессе</v>
      </c>
      <c r="K25" s="1005">
        <f>INDEX(TEMPLATE_NOTE_POINT_FHD,B25,MATCH(TEMPLATE_SPHERE,TEMPLATE_SPHERE_LIST_FOR_NOTE,0))</f>
        <v>0</v>
      </c>
      <c r="L25" s="844" t="str">
        <f>IF(I25=0,"",I25)</f>
        <v>2.3</v>
      </c>
      <c r="M25" s="844" t="str">
        <f>IF(J25=0,"",J25)</f>
        <v>Расходы на приобретаемую электрическую энергию (мощность), используемую в технологическом процессе</v>
      </c>
      <c r="N25" s="844" t="str">
        <f>IF(K25=0,"",K25)</f>
        <v/>
      </c>
      <c r="O25" s="957" t="s">
        <v>312</v>
      </c>
      <c r="P25" s="957" t="s">
        <v>309</v>
      </c>
      <c r="Q25" s="957" t="s">
        <v>738</v>
      </c>
      <c r="R25" s="957" t="s">
        <v>309</v>
      </c>
      <c r="S25" s="957"/>
      <c r="T25" s="964" t="s">
        <v>2058</v>
      </c>
      <c r="U25" s="846" t="s">
        <v>2058</v>
      </c>
      <c r="V25" s="846" t="s">
        <v>2058</v>
      </c>
      <c r="W25" s="846" t="s">
        <v>2058</v>
      </c>
      <c r="X25" s="843"/>
      <c r="Y25" s="1000"/>
      <c r="Z25" s="846"/>
      <c r="AA25" s="849"/>
      <c r="AB25" s="846"/>
      <c r="AC25" s="846"/>
      <c r="AD25" s="846"/>
    </row>
    <row customHeight="1" ht="18">
      <c r="A26" s="845"/>
      <c r="B26" s="899">
        <v>9</v>
      </c>
      <c r="C26" s="843" t="s">
        <v>655</v>
      </c>
      <c r="D26" s="967"/>
      <c r="E26" s="843"/>
      <c r="F26" s="843"/>
      <c r="G26" s="891"/>
      <c r="H26" s="958"/>
      <c r="I26" s="1005" t="str">
        <f>INDEX(TEMPLATE_NUMBER_POINT_FHD,B26,MATCH(TEMPLATE_SPHERE,TEMPLATE_SPHERE_LIST_FOR_NOTE,0))</f>
        <v>2.3.1</v>
      </c>
      <c r="J26" s="1005" t="str">
        <f>INDEX(TEMPLATE_DATA_POINT_FHD,B26,MATCH(TEMPLATE_SPHERE,TEMPLATE_SPHERE_LIST_FOR_NOTE,0))</f>
        <v>Средневзвешенная стоимость 1 кВт.ч (с учетом мощности)</v>
      </c>
      <c r="K26" s="1005">
        <f>INDEX(TEMPLATE_NOTE_POINT_FHD,B26,MATCH(TEMPLATE_SPHERE,TEMPLATE_SPHERE_LIST_FOR_NOTE,0))</f>
        <v>0</v>
      </c>
      <c r="L26" s="844" t="str">
        <f>IF(I26=0,"",I26)</f>
        <v>2.3.1</v>
      </c>
      <c r="M26" s="844" t="str">
        <f>IF(J26=0,"",J26)</f>
        <v>Средневзвешенная стоимость 1 кВт.ч (с учетом мощности)</v>
      </c>
      <c r="N26" s="844" t="str">
        <f>IF(K26=0,"",K26)</f>
        <v/>
      </c>
      <c r="O26" s="957" t="s">
        <v>727</v>
      </c>
      <c r="P26" s="957" t="s">
        <v>721</v>
      </c>
      <c r="Q26" s="957" t="s">
        <v>2059</v>
      </c>
      <c r="R26" s="957" t="s">
        <v>721</v>
      </c>
      <c r="S26" s="957"/>
      <c r="T26" s="964" t="str">
        <f>"Средневзвешенная стоимость 1 кВт.ч"&amp;IF(TITLE_TYPE_ORG="Регулируемая организация"," (с учетом мощности)","")</f>
        <v>Средневзвешенная стоимость 1 кВт.ч (с учетом мощности)</v>
      </c>
      <c r="U26" s="964" t="s">
        <v>2060</v>
      </c>
      <c r="V26" s="964" t="s">
        <v>2060</v>
      </c>
      <c r="W26" s="964" t="s">
        <v>2060</v>
      </c>
      <c r="X26" s="843"/>
      <c r="Y26" s="1000"/>
      <c r="Z26" s="846"/>
      <c r="AA26" s="849"/>
      <c r="AB26" s="846"/>
      <c r="AC26" s="846"/>
      <c r="AD26" s="846"/>
    </row>
    <row customHeight="1" ht="18">
      <c r="A27" s="845"/>
      <c r="B27" s="899">
        <v>10</v>
      </c>
      <c r="C27" s="843" t="s">
        <v>659</v>
      </c>
      <c r="D27" s="967"/>
      <c r="E27" s="843"/>
      <c r="F27" s="843"/>
      <c r="G27" s="891"/>
      <c r="H27" s="958"/>
      <c r="I27" s="1005" t="str">
        <f>INDEX(TEMPLATE_NUMBER_POINT_FHD,B27,MATCH(TEMPLATE_SPHERE,TEMPLATE_SPHERE_LIST_FOR_NOTE,0))</f>
        <v>2.3.2</v>
      </c>
      <c r="J27" s="1005" t="str">
        <f>INDEX(TEMPLATE_DATA_POINT_FHD,B27,MATCH(TEMPLATE_SPHERE,TEMPLATE_SPHERE_LIST_FOR_NOTE,0))</f>
        <v>Объём приобретения электрической энергии</v>
      </c>
      <c r="K27" s="1005">
        <f>INDEX(TEMPLATE_NOTE_POINT_FHD,B27,MATCH(TEMPLATE_SPHERE,TEMPLATE_SPHERE_LIST_FOR_NOTE,0))</f>
        <v>0</v>
      </c>
      <c r="L27" s="844" t="str">
        <f>IF(I27=0,"",I27)</f>
        <v>2.3.2</v>
      </c>
      <c r="M27" s="844" t="str">
        <f>IF(J27=0,"",J27)</f>
        <v>Объём приобретения электрической энергии</v>
      </c>
      <c r="N27" s="844" t="str">
        <f>IF(K27=0,"",K27)</f>
        <v/>
      </c>
      <c r="O27" s="957" t="s">
        <v>729</v>
      </c>
      <c r="P27" s="957" t="s">
        <v>723</v>
      </c>
      <c r="Q27" s="957" t="s">
        <v>2061</v>
      </c>
      <c r="R27" s="957" t="s">
        <v>723</v>
      </c>
      <c r="S27" s="957"/>
      <c r="T27" s="964" t="s">
        <v>2062</v>
      </c>
      <c r="U27" s="964" t="s">
        <v>2062</v>
      </c>
      <c r="V27" s="964" t="s">
        <v>2062</v>
      </c>
      <c r="W27" s="964" t="s">
        <v>2062</v>
      </c>
      <c r="X27" s="843"/>
      <c r="Y27" s="1000"/>
      <c r="Z27" s="846"/>
      <c r="AA27" s="849"/>
      <c r="AB27" s="846"/>
      <c r="AC27" s="846"/>
      <c r="AD27" s="846"/>
    </row>
    <row customHeight="1" ht="27">
      <c r="A28" s="845"/>
      <c r="B28" s="899">
        <v>11</v>
      </c>
      <c r="C28" s="843">
        <v>7</v>
      </c>
      <c r="D28" s="967"/>
      <c r="E28" s="843"/>
      <c r="F28" s="843"/>
      <c r="G28" s="891"/>
      <c r="H28" s="958"/>
      <c r="I28" s="1005" t="str">
        <f>INDEX(TEMPLATE_NUMBER_POINT_FHD,B28,MATCH(TEMPLATE_SPHERE,TEMPLATE_SPHERE_LIST_FOR_NOTE,0))</f>
        <v>2.4</v>
      </c>
      <c r="J28" s="1005" t="str">
        <f>INDEX(TEMPLATE_DATA_POINT_FHD,B28,MATCH(TEMPLATE_SPHERE,TEMPLATE_SPHERE_LIST_FOR_NOTE,0))</f>
        <v>Расходы на приобретение холодной воды, используемой в технологическом процессе</v>
      </c>
      <c r="K28" s="1005">
        <f>INDEX(TEMPLATE_NOTE_POINT_FHD,B28,MATCH(TEMPLATE_SPHERE,TEMPLATE_SPHERE_LIST_FOR_NOTE,0))</f>
        <v>0</v>
      </c>
      <c r="L28" s="844" t="str">
        <f>IF(I28=0,"",I28)</f>
        <v>2.4</v>
      </c>
      <c r="M28" s="844" t="str">
        <f>IF(J28=0,"",J28)</f>
        <v>Расходы на приобретение холодной воды, используемой в технологическом процессе</v>
      </c>
      <c r="N28" s="844" t="str">
        <f>IF(K28=0,"",K28)</f>
        <v/>
      </c>
      <c r="O28" s="957" t="s">
        <v>731</v>
      </c>
      <c r="P28" s="957"/>
      <c r="Q28" s="957"/>
      <c r="R28" s="957"/>
      <c r="S28" s="957"/>
      <c r="T28" s="964" t="s">
        <v>2063</v>
      </c>
      <c r="U28" s="846"/>
      <c r="V28" s="846"/>
      <c r="W28" s="846"/>
      <c r="X28" s="843"/>
      <c r="Y28" s="1000"/>
      <c r="Z28" s="846"/>
      <c r="AA28" s="849"/>
      <c r="AB28" s="846"/>
      <c r="AC28" s="846"/>
      <c r="AD28" s="846"/>
    </row>
    <row customHeight="1" ht="27">
      <c r="A29" s="845"/>
      <c r="B29" s="899">
        <v>12</v>
      </c>
      <c r="C29" s="843">
        <v>8</v>
      </c>
      <c r="D29" s="967"/>
      <c r="E29" s="843"/>
      <c r="F29" s="843"/>
      <c r="G29" s="891"/>
      <c r="H29" s="958"/>
      <c r="I29" s="1005" t="str">
        <f>INDEX(TEMPLATE_NUMBER_POINT_FHD,B29,MATCH(TEMPLATE_SPHERE,TEMPLATE_SPHERE_LIST_FOR_NOTE,0))</f>
        <v>2.5</v>
      </c>
      <c r="J29" s="1005" t="str">
        <f>INDEX(TEMPLATE_DATA_POINT_FHD,B29,MATCH(TEMPLATE_SPHERE,TEMPLATE_SPHERE_LIST_FOR_NOTE,0))</f>
        <v>Расходы на  химические реагенты, используемые в технологическом процессе</v>
      </c>
      <c r="K29" s="1005">
        <f>INDEX(TEMPLATE_NOTE_POINT_FHD,B29,MATCH(TEMPLATE_SPHERE,TEMPLATE_SPHERE_LIST_FOR_NOTE,0))</f>
        <v>0</v>
      </c>
      <c r="L29" s="844" t="str">
        <f>IF(I29=0,"",I29)</f>
        <v>2.5</v>
      </c>
      <c r="M29" s="844" t="str">
        <f>IF(J29=0,"",J29)</f>
        <v>Расходы на  химические реагенты, используемые в технологическом процессе</v>
      </c>
      <c r="N29" s="844" t="str">
        <f>IF(K29=0,"",K29)</f>
        <v/>
      </c>
      <c r="O29" s="957" t="s">
        <v>738</v>
      </c>
      <c r="P29" s="957" t="s">
        <v>312</v>
      </c>
      <c r="Q29" s="957"/>
      <c r="R29" s="957" t="s">
        <v>312</v>
      </c>
      <c r="S29" s="957"/>
      <c r="T29" s="964" t="str">
        <f>"Расходы на  хим"&amp;IF(TITLE_TYPE_ORG="Регулируемая организация","ические",".")&amp;" реагенты, используемые в технологическом процессе"</f>
        <v>Расходы на  химические реагенты, используемые в технологическом процессе</v>
      </c>
      <c r="U29" s="846" t="s">
        <v>2064</v>
      </c>
      <c r="V29" s="846"/>
      <c r="W29" s="846" t="s">
        <v>2064</v>
      </c>
      <c r="X29" s="843"/>
      <c r="Y29" s="1000"/>
      <c r="Z29" s="846"/>
      <c r="AA29" s="849"/>
      <c r="AB29" s="846"/>
      <c r="AC29" s="846"/>
      <c r="AD29" s="846"/>
    </row>
    <row customHeight="1" ht="54">
      <c r="A30" s="845"/>
      <c r="B30" s="899">
        <v>13</v>
      </c>
      <c r="C30" s="843">
        <v>9</v>
      </c>
      <c r="D30" s="967"/>
      <c r="E30" s="843"/>
      <c r="F30" s="843"/>
      <c r="G30" s="891"/>
      <c r="H30" s="958"/>
      <c r="I30" s="1005" t="str">
        <f>INDEX(TEMPLATE_NUMBER_POINT_FHD,B30,MATCH(TEMPLATE_SPHERE,TEMPLATE_SPHERE_LIST_FOR_NOTE,0))</f>
        <v>2.6</v>
      </c>
      <c r="J30" s="1005" t="str">
        <f>INDEX(TEMPLATE_DATA_POINT_FHD,B30,MATCH(TEMPLATE_SPHERE,TEMPLATE_SPHERE_LIST_FOR_NOTE,0))</f>
        <v>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v>
      </c>
      <c r="K30" s="1005">
        <f>INDEX(TEMPLATE_NOTE_POINT_FHD,B30,MATCH(TEMPLATE_SPHERE,TEMPLATE_SPHERE_LIST_FOR_NOTE,0))</f>
        <v>0</v>
      </c>
      <c r="L30" s="844" t="str">
        <f>IF(I30=0,"",I30)</f>
        <v>2.6</v>
      </c>
      <c r="M30" s="844" t="str">
        <f>IF(J30=0,"",J30)</f>
        <v>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v>
      </c>
      <c r="N30" s="844" t="str">
        <f>IF(K30=0,"",K30)</f>
        <v/>
      </c>
      <c r="O30" s="957" t="s">
        <v>740</v>
      </c>
      <c r="P30" s="957" t="s">
        <v>731</v>
      </c>
      <c r="Q30" s="957" t="s">
        <v>740</v>
      </c>
      <c r="R30" s="957" t="s">
        <v>731</v>
      </c>
      <c r="S30" s="957"/>
      <c r="T30" s="964" t="s">
        <v>2065</v>
      </c>
      <c r="U30" s="846" t="s">
        <v>2065</v>
      </c>
      <c r="V30" s="846" t="s">
        <v>2065</v>
      </c>
      <c r="W30" s="846" t="s">
        <v>2065</v>
      </c>
      <c r="X30" s="843"/>
      <c r="Y30" s="1000"/>
      <c r="Z30" s="846"/>
      <c r="AA30" s="849" t="s">
        <v>2066</v>
      </c>
      <c r="AB30" s="849" t="s">
        <v>2066</v>
      </c>
      <c r="AC30" s="849" t="s">
        <v>2066</v>
      </c>
      <c r="AD30" s="846"/>
    </row>
    <row customHeight="1" ht="18">
      <c r="A31" s="845"/>
      <c r="B31" s="899">
        <v>14</v>
      </c>
      <c r="C31" s="843" t="s">
        <v>2067</v>
      </c>
      <c r="D31" s="967"/>
      <c r="E31" s="843"/>
      <c r="F31" s="843"/>
      <c r="G31" s="891"/>
      <c r="H31" s="958"/>
      <c r="I31" s="1005" t="str">
        <f>INDEX(TEMPLATE_NUMBER_POINT_FHD,B31,MATCH(TEMPLATE_SPHERE,TEMPLATE_SPHERE_LIST_FOR_NOTE,0))</f>
        <v>2.6.1</v>
      </c>
      <c r="J31" s="1005" t="str">
        <f>INDEX(TEMPLATE_DATA_POINT_FHD,B31,MATCH(TEMPLATE_SPHERE,TEMPLATE_SPHERE_LIST_FOR_NOTE,0))</f>
        <v>Расходы на оплату труда основного производственного персонала</v>
      </c>
      <c r="K31" s="1005">
        <f>INDEX(TEMPLATE_NOTE_POINT_FHD,B31,MATCH(TEMPLATE_SPHERE,TEMPLATE_SPHERE_LIST_FOR_NOTE,0))</f>
        <v>0</v>
      </c>
      <c r="L31" s="844" t="str">
        <f>IF(I31=0,"",I31)</f>
        <v>2.6.1</v>
      </c>
      <c r="M31" s="844" t="str">
        <f>IF(J31=0,"",J31)</f>
        <v>Расходы на оплату труда основного производственного персонала</v>
      </c>
      <c r="N31" s="844" t="str">
        <f>IF(K31=0,"",K31)</f>
        <v/>
      </c>
      <c r="O31" s="957" t="s">
        <v>2068</v>
      </c>
      <c r="P31" s="957" t="s">
        <v>734</v>
      </c>
      <c r="Q31" s="957" t="s">
        <v>2068</v>
      </c>
      <c r="R31" s="957" t="s">
        <v>734</v>
      </c>
      <c r="S31" s="957"/>
      <c r="T31" s="965" t="s">
        <v>2069</v>
      </c>
      <c r="U31" s="846" t="s">
        <v>2069</v>
      </c>
      <c r="V31" s="846" t="s">
        <v>2069</v>
      </c>
      <c r="W31" s="846" t="s">
        <v>2069</v>
      </c>
      <c r="X31" s="843"/>
      <c r="Y31" s="1000"/>
      <c r="Z31" s="846"/>
      <c r="AA31" s="849"/>
      <c r="AB31" s="849"/>
      <c r="AC31" s="849"/>
      <c r="AD31" s="846"/>
    </row>
    <row customHeight="1" ht="36">
      <c r="A32" s="845"/>
      <c r="B32" s="899">
        <v>15</v>
      </c>
      <c r="C32" s="843" t="s">
        <v>2070</v>
      </c>
      <c r="D32" s="967"/>
      <c r="E32" s="843"/>
      <c r="F32" s="843"/>
      <c r="G32" s="891"/>
      <c r="H32" s="958"/>
      <c r="I32" s="1005" t="str">
        <f>INDEX(TEMPLATE_NUMBER_POINT_FHD,B32,MATCH(TEMPLATE_SPHERE,TEMPLATE_SPHERE_LIST_FOR_NOTE,0))</f>
        <v>2.6.2</v>
      </c>
      <c r="J32" s="1005" t="str">
        <f>INDEX(TEMPLATE_DATA_POINT_FHD,B32,MATCH(TEMPLATE_SPHERE,TEMPLATE_SPHERE_LIST_FOR_NOTE,0))</f>
        <v>Страховые взносы на обязательное социальное страхование, выплачиваемые из фонда оплаты труда основного производственного персонала</v>
      </c>
      <c r="K32" s="1005">
        <f>INDEX(TEMPLATE_NOTE_POINT_FHD,B32,MATCH(TEMPLATE_SPHERE,TEMPLATE_SPHERE_LIST_FOR_NOTE,0))</f>
        <v>0</v>
      </c>
      <c r="L32" s="844" t="str">
        <f>IF(I32=0,"",I32)</f>
        <v>2.6.2</v>
      </c>
      <c r="M32" s="844" t="str">
        <f>IF(J32=0,"",J32)</f>
        <v>Страховые взносы на обязательное социальное страхование, выплачиваемые из фонда оплаты труда основного производственного персонала</v>
      </c>
      <c r="N32" s="844" t="str">
        <f>IF(K32=0,"",K32)</f>
        <v/>
      </c>
      <c r="O32" s="957" t="s">
        <v>2071</v>
      </c>
      <c r="P32" s="957" t="s">
        <v>736</v>
      </c>
      <c r="Q32" s="957" t="s">
        <v>2071</v>
      </c>
      <c r="R32" s="957" t="s">
        <v>736</v>
      </c>
      <c r="S32" s="957"/>
      <c r="T32" s="966" t="str">
        <f>IF(TITLE_TYPE_ORG="Регулируемая организация","С","Расходы на с")&amp;"траховые взносы на обязательное социальное страхование, выплачиваемые из фонда оплаты труда основного производственного персонала"</f>
        <v>Страховые взносы на обязательное социальное страхование, выплачиваемые из фонда оплаты труда основного производственного персонала</v>
      </c>
      <c r="U32" s="846" t="s">
        <v>2072</v>
      </c>
      <c r="V32" s="846" t="s">
        <v>2072</v>
      </c>
      <c r="W32" s="846" t="s">
        <v>2072</v>
      </c>
      <c r="X32" s="843"/>
      <c r="Y32" s="1000"/>
      <c r="Z32" s="846"/>
      <c r="AA32" s="849"/>
      <c r="AB32" s="849"/>
      <c r="AC32" s="849"/>
      <c r="AD32" s="846"/>
    </row>
    <row customHeight="1" ht="45">
      <c r="A33" s="845"/>
      <c r="B33" s="899">
        <v>16</v>
      </c>
      <c r="C33" s="843">
        <v>10</v>
      </c>
      <c r="D33" s="967"/>
      <c r="E33" s="843"/>
      <c r="F33" s="843"/>
      <c r="G33" s="891"/>
      <c r="H33" s="958"/>
      <c r="I33" s="1005" t="str">
        <f>INDEX(TEMPLATE_NUMBER_POINT_FHD,B33,MATCH(TEMPLATE_SPHERE,TEMPLATE_SPHERE_LIST_FOR_NOTE,0))</f>
        <v>2.7</v>
      </c>
      <c r="J33" s="1005" t="str">
        <f>INDEX(TEMPLATE_DATA_POINT_FHD,B33,MATCH(TEMPLATE_SPHERE,TEMPLATE_SPHERE_LIST_FOR_NOTE,0))</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v>
      </c>
      <c r="K33" s="1005">
        <f>INDEX(TEMPLATE_NOTE_POINT_FHD,B33,MATCH(TEMPLATE_SPHERE,TEMPLATE_SPHERE_LIST_FOR_NOTE,0))</f>
        <v>0</v>
      </c>
      <c r="L33" s="844" t="str">
        <f>IF(I33=0,"",I33)</f>
        <v>2.7</v>
      </c>
      <c r="M33" s="844" t="str">
        <f>IF(J33=0,"",J33)</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v>
      </c>
      <c r="N33" s="844" t="str">
        <f>IF(K33=0,"",K33)</f>
        <v/>
      </c>
      <c r="O33" s="957" t="s">
        <v>742</v>
      </c>
      <c r="P33" s="957" t="s">
        <v>738</v>
      </c>
      <c r="Q33" s="957" t="s">
        <v>742</v>
      </c>
      <c r="R33" s="957" t="s">
        <v>738</v>
      </c>
      <c r="S33" s="957"/>
      <c r="T33" s="965" t="str">
        <f>"Расходы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персонала"&amp;IF(TITLE_TYPE_ORG="Регулируемая организация",", в том числе","")&amp;":"</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v>
      </c>
      <c r="U33" s="846" t="s">
        <v>2073</v>
      </c>
      <c r="V33" s="846" t="s">
        <v>2073</v>
      </c>
      <c r="W33" s="846" t="s">
        <v>2074</v>
      </c>
      <c r="X33" s="843"/>
      <c r="Y33" s="1000"/>
      <c r="Z33" s="846"/>
      <c r="AA33" s="849" t="s">
        <v>2075</v>
      </c>
      <c r="AB33" s="849" t="s">
        <v>2075</v>
      </c>
      <c r="AC33" s="849" t="s">
        <v>2075</v>
      </c>
      <c r="AD33" s="846"/>
    </row>
    <row customHeight="1" ht="27">
      <c r="A34" s="845"/>
      <c r="B34" s="899">
        <v>17</v>
      </c>
      <c r="C34" s="843" t="s">
        <v>2076</v>
      </c>
      <c r="D34" s="967"/>
      <c r="E34" s="843"/>
      <c r="F34" s="843"/>
      <c r="G34" s="891"/>
      <c r="H34" s="958"/>
      <c r="I34" s="1005" t="str">
        <f>INDEX(TEMPLATE_NUMBER_POINT_FHD,B34,MATCH(TEMPLATE_SPHERE,TEMPLATE_SPHERE_LIST_FOR_NOTE,0))</f>
        <v>2.7.1</v>
      </c>
      <c r="J34" s="1005" t="str">
        <f>INDEX(TEMPLATE_DATA_POINT_FHD,B34,MATCH(TEMPLATE_SPHERE,TEMPLATE_SPHERE_LIST_FOR_NOTE,0))</f>
        <v>Расходы на оплату труда административно-управленческого персонала</v>
      </c>
      <c r="K34" s="1005">
        <f>INDEX(TEMPLATE_NOTE_POINT_FHD,B34,MATCH(TEMPLATE_SPHERE,TEMPLATE_SPHERE_LIST_FOR_NOTE,0))</f>
        <v>0</v>
      </c>
      <c r="L34" s="844" t="str">
        <f>IF(I34=0,"",I34)</f>
        <v>2.7.1</v>
      </c>
      <c r="M34" s="844" t="str">
        <f>IF(J34=0,"",J34)</f>
        <v>Расходы на оплату труда административно-управленческого персонала</v>
      </c>
      <c r="N34" s="844" t="str">
        <f>IF(K34=0,"",K34)</f>
        <v/>
      </c>
      <c r="O34" s="957" t="s">
        <v>2077</v>
      </c>
      <c r="P34" s="957" t="s">
        <v>2059</v>
      </c>
      <c r="Q34" s="957" t="s">
        <v>2077</v>
      </c>
      <c r="R34" s="957" t="s">
        <v>2059</v>
      </c>
      <c r="S34" s="957"/>
      <c r="T34" s="966" t="s">
        <v>2078</v>
      </c>
      <c r="U34" s="846" t="s">
        <v>2078</v>
      </c>
      <c r="V34" s="846" t="s">
        <v>2078</v>
      </c>
      <c r="W34" s="846" t="s">
        <v>2079</v>
      </c>
      <c r="X34" s="843"/>
      <c r="Y34" s="1000"/>
      <c r="Z34" s="846"/>
      <c r="AA34" s="849"/>
      <c r="AB34" s="846"/>
      <c r="AC34" s="846"/>
      <c r="AD34" s="846"/>
    </row>
    <row customHeight="1" ht="45">
      <c r="A35" s="845"/>
      <c r="B35" s="899">
        <v>18</v>
      </c>
      <c r="C35" s="843" t="s">
        <v>2080</v>
      </c>
      <c r="D35" s="967"/>
      <c r="E35" s="843"/>
      <c r="F35" s="843"/>
      <c r="G35" s="891"/>
      <c r="H35" s="958"/>
      <c r="I35" s="1005" t="str">
        <f>INDEX(TEMPLATE_NUMBER_POINT_FHD,B35,MATCH(TEMPLATE_SPHERE,TEMPLATE_SPHERE_LIST_FOR_NOTE,0))</f>
        <v>2.7.2</v>
      </c>
      <c r="J35" s="1005" t="str">
        <f>INDEX(TEMPLATE_DATA_POINT_FHD,B35,MATCH(TEMPLATE_SPHERE,TEMPLATE_SPHERE_LIST_FOR_NOTE,0))</f>
        <v>Страховые взносы на обязательное социальное страхование, выплачиваемые из фонда оплаты труда административно-управленческого персонала</v>
      </c>
      <c r="K35" s="1005">
        <f>INDEX(TEMPLATE_NOTE_POINT_FHD,B35,MATCH(TEMPLATE_SPHERE,TEMPLATE_SPHERE_LIST_FOR_NOTE,0))</f>
        <v>0</v>
      </c>
      <c r="L35" s="844" t="str">
        <f>IF(I35=0,"",I35)</f>
        <v>2.7.2</v>
      </c>
      <c r="M35" s="844" t="str">
        <f>IF(J35=0,"",J35)</f>
        <v>Страховые взносы на обязательное социальное страхование, выплачиваемые из фонда оплаты труда административно-управленческого персонала</v>
      </c>
      <c r="N35" s="844" t="str">
        <f>IF(K35=0,"",K35)</f>
        <v/>
      </c>
      <c r="O35" s="957" t="s">
        <v>2081</v>
      </c>
      <c r="P35" s="957" t="s">
        <v>2061</v>
      </c>
      <c r="Q35" s="957" t="s">
        <v>2081</v>
      </c>
      <c r="R35" s="957" t="s">
        <v>2061</v>
      </c>
      <c r="S35" s="957"/>
      <c r="T35" s="964" t="str">
        <f>IF(TITLE_TYPE_ORG="Регулируемая организация","С","Расходы на с")&amp;"траховые взносы на обязательное социальное страхование, выплачиваемые из фонда оплаты труда административно-управленческого персонала"</f>
        <v>Страховые взносы на обязательное социальное страхование, выплачиваемые из фонда оплаты труда административно-управленческого персонала</v>
      </c>
      <c r="U35" s="846" t="s">
        <v>2082</v>
      </c>
      <c r="V35" s="846" t="s">
        <v>2082</v>
      </c>
      <c r="W35" s="846" t="s">
        <v>2082</v>
      </c>
      <c r="X35" s="843"/>
      <c r="Y35" s="1000"/>
      <c r="Z35" s="846"/>
      <c r="AA35" s="849"/>
      <c r="AB35" s="846"/>
      <c r="AC35" s="846"/>
      <c r="AD35" s="846"/>
    </row>
    <row customHeight="1" ht="18">
      <c r="A36" s="845"/>
      <c r="B36" s="899">
        <v>19</v>
      </c>
      <c r="C36" s="843">
        <v>11</v>
      </c>
      <c r="D36" s="967"/>
      <c r="E36" s="843"/>
      <c r="F36" s="843"/>
      <c r="G36" s="891"/>
      <c r="H36" s="958"/>
      <c r="I36" s="1005" t="str">
        <f>INDEX(TEMPLATE_NUMBER_POINT_FHD,B36,MATCH(TEMPLATE_SPHERE,TEMPLATE_SPHERE_LIST_FOR_NOTE,0))</f>
        <v>2.8</v>
      </c>
      <c r="J36" s="1005" t="str">
        <f>INDEX(TEMPLATE_DATA_POINT_FHD,B36,MATCH(TEMPLATE_SPHERE,TEMPLATE_SPHERE_LIST_FOR_NOTE,0))</f>
        <v>Расходы на амортизацию основных средств и нематериальных активов</v>
      </c>
      <c r="K36" s="1005">
        <f>INDEX(TEMPLATE_NOTE_POINT_FHD,B36,MATCH(TEMPLATE_SPHERE,TEMPLATE_SPHERE_LIST_FOR_NOTE,0))</f>
        <v>0</v>
      </c>
      <c r="L36" s="844" t="str">
        <f>IF(I36=0,"",I36)</f>
        <v>2.8</v>
      </c>
      <c r="M36" s="844" t="str">
        <f>IF(J36=0,"",J36)</f>
        <v>Расходы на амортизацию основных средств и нематериальных активов</v>
      </c>
      <c r="N36" s="844" t="str">
        <f>IF(K36=0,"",K36)</f>
        <v/>
      </c>
      <c r="O36" s="957" t="s">
        <v>744</v>
      </c>
      <c r="P36" s="957" t="s">
        <v>740</v>
      </c>
      <c r="Q36" s="957" t="s">
        <v>744</v>
      </c>
      <c r="R36" s="957" t="s">
        <v>740</v>
      </c>
      <c r="S36" s="957"/>
      <c r="T36" s="964" t="s">
        <v>2083</v>
      </c>
      <c r="U36" s="846" t="s">
        <v>2083</v>
      </c>
      <c r="V36" s="846" t="s">
        <v>2083</v>
      </c>
      <c r="W36" s="846" t="s">
        <v>2083</v>
      </c>
      <c r="X36" s="843"/>
      <c r="Y36" s="1000"/>
      <c r="Z36" s="846"/>
      <c r="AA36" s="849"/>
      <c r="AB36" s="846"/>
      <c r="AC36" s="846"/>
      <c r="AD36" s="846"/>
    </row>
    <row customHeight="1" ht="18">
      <c r="A37" s="845"/>
      <c r="B37" s="899">
        <v>20</v>
      </c>
      <c r="C37" s="843" t="s">
        <v>2084</v>
      </c>
      <c r="D37" s="967"/>
      <c r="E37" s="843"/>
      <c r="F37" s="843"/>
      <c r="G37" s="891"/>
      <c r="H37" s="958"/>
      <c r="I37" s="1005" t="str">
        <f>INDEX(TEMPLATE_NUMBER_POINT_FHD,B37,MATCH(TEMPLATE_SPHERE,TEMPLATE_SPHERE_LIST_FOR_NOTE,0))</f>
        <v>2.8.1</v>
      </c>
      <c r="J37" s="1005" t="str">
        <f>INDEX(TEMPLATE_DATA_POINT_FHD,B37,MATCH(TEMPLATE_SPHERE,TEMPLATE_SPHERE_LIST_FOR_NOTE,0))</f>
        <v>Расходы на амортизацию основных средств</v>
      </c>
      <c r="K37" s="1005">
        <f>INDEX(TEMPLATE_NOTE_POINT_FHD,B37,MATCH(TEMPLATE_SPHERE,TEMPLATE_SPHERE_LIST_FOR_NOTE,0))</f>
        <v>0</v>
      </c>
      <c r="L37" s="844" t="str">
        <f>IF(I37=0,"",I37)</f>
        <v>2.8.1</v>
      </c>
      <c r="M37" s="844" t="str">
        <f>IF(J37=0,"",J37)</f>
        <v>Расходы на амортизацию основных средств</v>
      </c>
      <c r="N37" s="844" t="str">
        <f>IF(K37=0,"",K37)</f>
        <v/>
      </c>
      <c r="O37" s="957" t="s">
        <v>2085</v>
      </c>
      <c r="P37" s="957" t="s">
        <v>2068</v>
      </c>
      <c r="Q37" s="957" t="s">
        <v>2085</v>
      </c>
      <c r="R37" s="957" t="s">
        <v>2068</v>
      </c>
      <c r="S37" s="957"/>
      <c r="T37" s="964" t="s">
        <v>2086</v>
      </c>
      <c r="U37" s="846" t="s">
        <v>2086</v>
      </c>
      <c r="V37" s="846" t="s">
        <v>2086</v>
      </c>
      <c r="W37" s="846" t="s">
        <v>2086</v>
      </c>
      <c r="X37" s="843"/>
      <c r="Y37" s="1000"/>
      <c r="Z37" s="846"/>
      <c r="AA37" s="849"/>
      <c r="AB37" s="846"/>
      <c r="AC37" s="846"/>
      <c r="AD37" s="846"/>
    </row>
    <row customHeight="1" ht="18">
      <c r="A38" s="845"/>
      <c r="B38" s="899">
        <v>21</v>
      </c>
      <c r="C38" s="843" t="s">
        <v>2087</v>
      </c>
      <c r="D38" s="967"/>
      <c r="E38" s="843"/>
      <c r="F38" s="843"/>
      <c r="G38" s="891"/>
      <c r="H38" s="958"/>
      <c r="I38" s="1005" t="str">
        <f>INDEX(TEMPLATE_NUMBER_POINT_FHD,B38,MATCH(TEMPLATE_SPHERE,TEMPLATE_SPHERE_LIST_FOR_NOTE,0))</f>
        <v>2.8.2</v>
      </c>
      <c r="J38" s="1005" t="str">
        <f>INDEX(TEMPLATE_DATA_POINT_FHD,B38,MATCH(TEMPLATE_SPHERE,TEMPLATE_SPHERE_LIST_FOR_NOTE,0))</f>
        <v>Расходы на амортизацию нематериальных активов</v>
      </c>
      <c r="K38" s="1005">
        <f>INDEX(TEMPLATE_NOTE_POINT_FHD,B38,MATCH(TEMPLATE_SPHERE,TEMPLATE_SPHERE_LIST_FOR_NOTE,0))</f>
        <v>0</v>
      </c>
      <c r="L38" s="844" t="str">
        <f>IF(I38=0,"",I38)</f>
        <v>2.8.2</v>
      </c>
      <c r="M38" s="844" t="str">
        <f>IF(J38=0,"",J38)</f>
        <v>Расходы на амортизацию нематериальных активов</v>
      </c>
      <c r="N38" s="844" t="str">
        <f>IF(K38=0,"",K38)</f>
        <v/>
      </c>
      <c r="O38" s="957" t="s">
        <v>2088</v>
      </c>
      <c r="P38" s="957" t="s">
        <v>2071</v>
      </c>
      <c r="Q38" s="957" t="s">
        <v>2088</v>
      </c>
      <c r="R38" s="957" t="s">
        <v>2071</v>
      </c>
      <c r="S38" s="957"/>
      <c r="T38" s="964" t="s">
        <v>2089</v>
      </c>
      <c r="U38" s="846" t="s">
        <v>2089</v>
      </c>
      <c r="V38" s="846" t="s">
        <v>2089</v>
      </c>
      <c r="W38" s="846" t="s">
        <v>2089</v>
      </c>
      <c r="X38" s="843"/>
      <c r="Y38" s="1000"/>
      <c r="Z38" s="846"/>
      <c r="AA38" s="849"/>
      <c r="AB38" s="846"/>
      <c r="AC38" s="846"/>
      <c r="AD38" s="846"/>
    </row>
    <row customHeight="1" ht="36">
      <c r="A39" s="845"/>
      <c r="B39" s="899">
        <v>22</v>
      </c>
      <c r="C39" s="843">
        <v>12</v>
      </c>
      <c r="D39" s="967"/>
      <c r="E39" s="843"/>
      <c r="F39" s="843"/>
      <c r="G39" s="891"/>
      <c r="H39" s="958"/>
      <c r="I39" s="1005" t="str">
        <f>INDEX(TEMPLATE_NUMBER_POINT_FHD,B39,MATCH(TEMPLATE_SPHERE,TEMPLATE_SPHERE_LIST_FOR_NOTE,0))</f>
        <v>2.9</v>
      </c>
      <c r="J39" s="1005" t="str">
        <f>INDEX(TEMPLATE_DATA_POINT_FHD,B39,MATCH(TEMPLATE_SPHERE,TEMPLATE_SPHERE_LIST_FOR_NOTE,0))</f>
        <v>Расходы на аренду имущества, используемого для осуществления регулируемого вида деятельности</v>
      </c>
      <c r="K39" s="1005">
        <f>INDEX(TEMPLATE_NOTE_POINT_FHD,B39,MATCH(TEMPLATE_SPHERE,TEMPLATE_SPHERE_LIST_FOR_NOTE,0))</f>
        <v>0</v>
      </c>
      <c r="L39" s="844" t="str">
        <f>IF(I39=0,"",I39)</f>
        <v>2.9</v>
      </c>
      <c r="M39" s="844" t="str">
        <f>IF(J39=0,"",J39)</f>
        <v>Расходы на аренду имущества, используемого для осуществления регулируемого вида деятельности</v>
      </c>
      <c r="N39" s="844" t="str">
        <f>IF(K39=0,"",K39)</f>
        <v/>
      </c>
      <c r="O39" s="957" t="s">
        <v>748</v>
      </c>
      <c r="P39" s="957" t="s">
        <v>742</v>
      </c>
      <c r="Q39" s="957" t="s">
        <v>748</v>
      </c>
      <c r="R39" s="957" t="s">
        <v>742</v>
      </c>
      <c r="S39" s="957"/>
      <c r="T39" s="964" t="s">
        <v>2090</v>
      </c>
      <c r="U39" s="846" t="s">
        <v>2091</v>
      </c>
      <c r="V39" s="846" t="s">
        <v>2092</v>
      </c>
      <c r="W39" s="846" t="s">
        <v>2093</v>
      </c>
      <c r="X39" s="843"/>
      <c r="Y39" s="1000"/>
      <c r="Z39" s="846"/>
      <c r="AA39" s="849"/>
      <c r="AB39" s="846"/>
      <c r="AC39" s="846"/>
      <c r="AD39" s="846"/>
    </row>
    <row customHeight="1" ht="18">
      <c r="A40" s="845"/>
      <c r="B40" s="899">
        <v>23</v>
      </c>
      <c r="C40" s="843">
        <v>13</v>
      </c>
      <c r="D40" s="967"/>
      <c r="E40" s="843"/>
      <c r="F40" s="843"/>
      <c r="G40" s="843"/>
      <c r="H40" s="894"/>
      <c r="I40" s="1005" t="str">
        <f>INDEX(TEMPLATE_NUMBER_POINT_FHD,B40,MATCH(TEMPLATE_SPHERE,TEMPLATE_SPHERE_LIST_FOR_NOTE,0))</f>
        <v>2.10</v>
      </c>
      <c r="J40" s="1005" t="str">
        <f>INDEX(TEMPLATE_DATA_POINT_FHD,B40,MATCH(TEMPLATE_SPHERE,TEMPLATE_SPHERE_LIST_FOR_NOTE,0))</f>
        <v>Общепроизводственные расходы, в том числе:</v>
      </c>
      <c r="K40" s="1005" t="str">
        <f>INDEX(TEMPLATE_NOTE_POINT_FHD,B40,MATCH(TEMPLATE_SPHERE,TEMPLATE_SPHERE_LIST_FOR_NOTE,0))</f>
        <v>Указывается общая сумма общепроизводственных расходов.</v>
      </c>
      <c r="L40" s="844" t="str">
        <f>IF(I40=0,"",I40)</f>
        <v>2.10</v>
      </c>
      <c r="M40" s="844" t="str">
        <f>IF(J40=0,"",J40)</f>
        <v>Общепроизводственные расходы, в том числе:</v>
      </c>
      <c r="N40" s="844" t="str">
        <f>IF(K40=0,"",K40)</f>
        <v>Указывается общая сумма общепроизводственных расходов.</v>
      </c>
      <c r="O40" s="957" t="s">
        <v>2094</v>
      </c>
      <c r="P40" s="957" t="s">
        <v>744</v>
      </c>
      <c r="Q40" s="957" t="s">
        <v>2094</v>
      </c>
      <c r="R40" s="957" t="s">
        <v>744</v>
      </c>
      <c r="S40" s="957"/>
      <c r="T40" s="843" t="s">
        <v>2095</v>
      </c>
      <c r="U40" s="843" t="s">
        <v>2095</v>
      </c>
      <c r="V40" s="843" t="s">
        <v>2095</v>
      </c>
      <c r="W40" s="843" t="s">
        <v>2095</v>
      </c>
      <c r="X40" s="843"/>
      <c r="Y40" s="1000"/>
      <c r="Z40" s="846" t="s">
        <v>2096</v>
      </c>
      <c r="AA40" s="849" t="s">
        <v>2096</v>
      </c>
      <c r="AB40" s="849" t="s">
        <v>2096</v>
      </c>
      <c r="AC40" s="849" t="s">
        <v>2096</v>
      </c>
      <c r="AD40" s="846"/>
    </row>
    <row customHeight="1" ht="27">
      <c r="A41" s="845"/>
      <c r="B41" s="899">
        <v>24</v>
      </c>
      <c r="C41" s="843" t="s">
        <v>2097</v>
      </c>
      <c r="D41" s="967"/>
      <c r="E41" s="843"/>
      <c r="F41" s="843"/>
      <c r="G41" s="843"/>
      <c r="H41" s="891"/>
      <c r="I41" s="1005" t="str">
        <f>INDEX(TEMPLATE_NUMBER_POINT_FHD,B41,MATCH(TEMPLATE_SPHERE,TEMPLATE_SPHERE_LIST_FOR_NOTE,0))</f>
        <v>2.10.1</v>
      </c>
      <c r="J41" s="1005" t="str">
        <f>INDEX(TEMPLATE_DATA_POINT_FHD,B41,MATCH(TEMPLATE_SPHERE,TEMPLATE_SPHERE_LIST_FOR_NOTE,0))</f>
        <v>Расходы на текущий ремонт</v>
      </c>
      <c r="K41" s="1005" t="str">
        <f>INDEX(TEMPLATE_NOTE_POINT_FHD,B41,MATCH(TEMPLATE_SPHERE,TEMPLATE_SPHERE_LIST_FOR_NOTE,0))</f>
        <v>Указываются расходы на текущий ремонт, отнесенные к общепроизводственным расходам.</v>
      </c>
      <c r="L41" s="844" t="str">
        <f>IF(I41=0,"",I41)</f>
        <v>2.10.1</v>
      </c>
      <c r="M41" s="844" t="str">
        <f>IF(J41=0,"",J41)</f>
        <v>Расходы на текущий ремонт</v>
      </c>
      <c r="N41" s="844" t="str">
        <f>IF(K41=0,"",K41)</f>
        <v>Указываются расходы на текущий ремонт, отнесенные к общепроизводственным расходам.</v>
      </c>
      <c r="O41" s="957" t="s">
        <v>2098</v>
      </c>
      <c r="P41" s="957" t="s">
        <v>2085</v>
      </c>
      <c r="Q41" s="957" t="s">
        <v>2098</v>
      </c>
      <c r="R41" s="957" t="s">
        <v>2085</v>
      </c>
      <c r="S41" s="957"/>
      <c r="T41" s="843" t="s">
        <v>2099</v>
      </c>
      <c r="U41" s="843" t="s">
        <v>2099</v>
      </c>
      <c r="V41" s="843" t="s">
        <v>2099</v>
      </c>
      <c r="W41" s="843" t="s">
        <v>2099</v>
      </c>
      <c r="X41" s="843"/>
      <c r="Y41" s="1000"/>
      <c r="Z41" s="846" t="s">
        <v>2100</v>
      </c>
      <c r="AA41" s="846" t="s">
        <v>2100</v>
      </c>
      <c r="AB41" s="846" t="s">
        <v>2100</v>
      </c>
      <c r="AC41" s="846" t="s">
        <v>2100</v>
      </c>
      <c r="AD41" s="846"/>
    </row>
    <row customHeight="1" ht="27">
      <c r="A42" s="845"/>
      <c r="B42" s="899">
        <v>25</v>
      </c>
      <c r="C42" s="843" t="s">
        <v>2101</v>
      </c>
      <c r="D42" s="967"/>
      <c r="E42" s="843"/>
      <c r="F42" s="843"/>
      <c r="G42" s="843"/>
      <c r="H42" s="891"/>
      <c r="I42" s="1005" t="str">
        <f>INDEX(TEMPLATE_NUMBER_POINT_FHD,B42,MATCH(TEMPLATE_SPHERE,TEMPLATE_SPHERE_LIST_FOR_NOTE,0))</f>
        <v>2.10.2</v>
      </c>
      <c r="J42" s="1005" t="str">
        <f>INDEX(TEMPLATE_DATA_POINT_FHD,B42,MATCH(TEMPLATE_SPHERE,TEMPLATE_SPHERE_LIST_FOR_NOTE,0))</f>
        <v>Расходы на капитальный ремонт</v>
      </c>
      <c r="K42" s="1005" t="str">
        <f>INDEX(TEMPLATE_NOTE_POINT_FHD,B42,MATCH(TEMPLATE_SPHERE,TEMPLATE_SPHERE_LIST_FOR_NOTE,0))</f>
        <v>Указываются расходы на капитальный ремонт, отнесенные к общепроизводственным расходам.</v>
      </c>
      <c r="L42" s="844" t="str">
        <f>IF(I42=0,"",I42)</f>
        <v>2.10.2</v>
      </c>
      <c r="M42" s="844" t="str">
        <f>IF(J42=0,"",J42)</f>
        <v>Расходы на капитальный ремонт</v>
      </c>
      <c r="N42" s="844" t="str">
        <f>IF(K42=0,"",K42)</f>
        <v>Указываются расходы на капитальный ремонт, отнесенные к общепроизводственным расходам.</v>
      </c>
      <c r="O42" s="957" t="s">
        <v>2102</v>
      </c>
      <c r="P42" s="957" t="s">
        <v>2088</v>
      </c>
      <c r="Q42" s="957" t="s">
        <v>2102</v>
      </c>
      <c r="R42" s="957" t="s">
        <v>2088</v>
      </c>
      <c r="S42" s="957"/>
      <c r="T42" s="843" t="s">
        <v>2103</v>
      </c>
      <c r="U42" s="843" t="s">
        <v>2103</v>
      </c>
      <c r="V42" s="843" t="s">
        <v>2103</v>
      </c>
      <c r="W42" s="843" t="s">
        <v>2103</v>
      </c>
      <c r="X42" s="843"/>
      <c r="Y42" s="1000"/>
      <c r="Z42" s="846" t="s">
        <v>2104</v>
      </c>
      <c r="AA42" s="846" t="s">
        <v>2104</v>
      </c>
      <c r="AB42" s="846" t="s">
        <v>2104</v>
      </c>
      <c r="AC42" s="846" t="s">
        <v>2104</v>
      </c>
      <c r="AD42" s="846"/>
    </row>
    <row customHeight="1" ht="18">
      <c r="A43" s="845"/>
      <c r="B43" s="899">
        <v>26</v>
      </c>
      <c r="C43" s="843">
        <v>14</v>
      </c>
      <c r="D43" s="967"/>
      <c r="E43" s="843"/>
      <c r="F43" s="843"/>
      <c r="G43" s="843"/>
      <c r="H43" s="891"/>
      <c r="I43" s="1005" t="str">
        <f>INDEX(TEMPLATE_NUMBER_POINT_FHD,B43,MATCH(TEMPLATE_SPHERE,TEMPLATE_SPHERE_LIST_FOR_NOTE,0))</f>
        <v>2.11</v>
      </c>
      <c r="J43" s="1005" t="str">
        <f>INDEX(TEMPLATE_DATA_POINT_FHD,B43,MATCH(TEMPLATE_SPHERE,TEMPLATE_SPHERE_LIST_FOR_NOTE,0))</f>
        <v>Общехозяйственные расходы, в том числе:</v>
      </c>
      <c r="K43" s="1005" t="str">
        <f>INDEX(TEMPLATE_NOTE_POINT_FHD,B43,MATCH(TEMPLATE_SPHERE,TEMPLATE_SPHERE_LIST_FOR_NOTE,0))</f>
        <v>Указывается общая сумма общехозяйственных расходов.</v>
      </c>
      <c r="L43" s="844" t="str">
        <f>IF(I43=0,"",I43)</f>
        <v>2.11</v>
      </c>
      <c r="M43" s="844" t="str">
        <f>IF(J43=0,"",J43)</f>
        <v>Общехозяйственные расходы, в том числе:</v>
      </c>
      <c r="N43" s="844" t="str">
        <f>IF(K43=0,"",K43)</f>
        <v>Указывается общая сумма общехозяйственных расходов.</v>
      </c>
      <c r="O43" s="957" t="s">
        <v>2105</v>
      </c>
      <c r="P43" s="957" t="s">
        <v>748</v>
      </c>
      <c r="Q43" s="957" t="s">
        <v>2105</v>
      </c>
      <c r="R43" s="957" t="s">
        <v>748</v>
      </c>
      <c r="S43" s="957"/>
      <c r="T43" s="843" t="s">
        <v>2106</v>
      </c>
      <c r="U43" s="843" t="s">
        <v>2106</v>
      </c>
      <c r="V43" s="843" t="s">
        <v>2106</v>
      </c>
      <c r="W43" s="843" t="s">
        <v>2106</v>
      </c>
      <c r="X43" s="843"/>
      <c r="Y43" s="1000"/>
      <c r="Z43" s="846" t="s">
        <v>2107</v>
      </c>
      <c r="AA43" s="846" t="s">
        <v>2107</v>
      </c>
      <c r="AB43" s="846" t="s">
        <v>2107</v>
      </c>
      <c r="AC43" s="846" t="s">
        <v>2107</v>
      </c>
      <c r="AD43" s="846"/>
    </row>
    <row customHeight="1" ht="27">
      <c r="A44" s="845"/>
      <c r="B44" s="899">
        <v>27</v>
      </c>
      <c r="C44" s="843" t="s">
        <v>2108</v>
      </c>
      <c r="D44" s="967"/>
      <c r="E44" s="843"/>
      <c r="F44" s="843"/>
      <c r="G44" s="843"/>
      <c r="H44" s="891"/>
      <c r="I44" s="1005" t="str">
        <f>INDEX(TEMPLATE_NUMBER_POINT_FHD,B44,MATCH(TEMPLATE_SPHERE,TEMPLATE_SPHERE_LIST_FOR_NOTE,0))</f>
        <v>2.11.1</v>
      </c>
      <c r="J44" s="1005" t="str">
        <f>INDEX(TEMPLATE_DATA_POINT_FHD,B44,MATCH(TEMPLATE_SPHERE,TEMPLATE_SPHERE_LIST_FOR_NOTE,0))</f>
        <v>Расходы на текущий ремонт</v>
      </c>
      <c r="K44" s="1005" t="str">
        <f>INDEX(TEMPLATE_NOTE_POINT_FHD,B44,MATCH(TEMPLATE_SPHERE,TEMPLATE_SPHERE_LIST_FOR_NOTE,0))</f>
        <v>Указываются расходы на текущий ремонт, отнесенные к общехозяйственным расходам.</v>
      </c>
      <c r="L44" s="844" t="str">
        <f>IF(I44=0,"",I44)</f>
        <v>2.11.1</v>
      </c>
      <c r="M44" s="844" t="str">
        <f>IF(J44=0,"",J44)</f>
        <v>Расходы на текущий ремонт</v>
      </c>
      <c r="N44" s="844" t="str">
        <f>IF(K44=0,"",K44)</f>
        <v>Указываются расходы на текущий ремонт, отнесенные к общехозяйственным расходам.</v>
      </c>
      <c r="O44" s="957" t="s">
        <v>2109</v>
      </c>
      <c r="P44" s="957" t="s">
        <v>2110</v>
      </c>
      <c r="Q44" s="957" t="s">
        <v>2109</v>
      </c>
      <c r="R44" s="957" t="s">
        <v>2110</v>
      </c>
      <c r="S44" s="957"/>
      <c r="T44" s="843" t="s">
        <v>2099</v>
      </c>
      <c r="U44" s="843" t="s">
        <v>2099</v>
      </c>
      <c r="V44" s="843" t="s">
        <v>2099</v>
      </c>
      <c r="W44" s="843" t="s">
        <v>2099</v>
      </c>
      <c r="X44" s="843"/>
      <c r="Y44" s="1000"/>
      <c r="Z44" s="846" t="s">
        <v>2111</v>
      </c>
      <c r="AA44" s="846" t="s">
        <v>2111</v>
      </c>
      <c r="AB44" s="846" t="s">
        <v>2111</v>
      </c>
      <c r="AC44" s="846" t="s">
        <v>2111</v>
      </c>
      <c r="AD44" s="846"/>
    </row>
    <row customHeight="1" ht="27">
      <c r="A45" s="845"/>
      <c r="B45" s="899">
        <v>28</v>
      </c>
      <c r="C45" s="843" t="s">
        <v>2112</v>
      </c>
      <c r="D45" s="967"/>
      <c r="E45" s="843"/>
      <c r="F45" s="843"/>
      <c r="G45" s="843"/>
      <c r="H45" s="891"/>
      <c r="I45" s="1005" t="str">
        <f>INDEX(TEMPLATE_NUMBER_POINT_FHD,B45,MATCH(TEMPLATE_SPHERE,TEMPLATE_SPHERE_LIST_FOR_NOTE,0))</f>
        <v>2.11.2</v>
      </c>
      <c r="J45" s="1005" t="str">
        <f>INDEX(TEMPLATE_DATA_POINT_FHD,B45,MATCH(TEMPLATE_SPHERE,TEMPLATE_SPHERE_LIST_FOR_NOTE,0))</f>
        <v>Расходы на капитальный ремонт</v>
      </c>
      <c r="K45" s="1005" t="str">
        <f>INDEX(TEMPLATE_NOTE_POINT_FHD,B45,MATCH(TEMPLATE_SPHERE,TEMPLATE_SPHERE_LIST_FOR_NOTE,0))</f>
        <v>Указываются расходы на капитальный ремонт, отнесенные к общехозяйственным расходам.</v>
      </c>
      <c r="L45" s="844" t="str">
        <f>IF(I45=0,"",I45)</f>
        <v>2.11.2</v>
      </c>
      <c r="M45" s="844" t="str">
        <f>IF(J45=0,"",J45)</f>
        <v>Расходы на капитальный ремонт</v>
      </c>
      <c r="N45" s="844" t="str">
        <f>IF(K45=0,"",K45)</f>
        <v>Указываются расходы на капитальный ремонт, отнесенные к общехозяйственным расходам.</v>
      </c>
      <c r="O45" s="957" t="s">
        <v>2113</v>
      </c>
      <c r="P45" s="957" t="s">
        <v>2114</v>
      </c>
      <c r="Q45" s="957" t="s">
        <v>2113</v>
      </c>
      <c r="R45" s="957" t="s">
        <v>2114</v>
      </c>
      <c r="S45" s="957"/>
      <c r="T45" s="843" t="s">
        <v>2103</v>
      </c>
      <c r="U45" s="843" t="s">
        <v>2103</v>
      </c>
      <c r="V45" s="843" t="s">
        <v>2103</v>
      </c>
      <c r="W45" s="843" t="s">
        <v>2103</v>
      </c>
      <c r="X45" s="843"/>
      <c r="Y45" s="1000"/>
      <c r="Z45" s="846" t="s">
        <v>2115</v>
      </c>
      <c r="AA45" s="846" t="s">
        <v>2115</v>
      </c>
      <c r="AB45" s="846" t="s">
        <v>2115</v>
      </c>
      <c r="AC45" s="846" t="s">
        <v>2115</v>
      </c>
      <c r="AD45" s="846"/>
    </row>
    <row customHeight="1" ht="54">
      <c r="A46" s="845"/>
      <c r="B46" s="899">
        <v>29</v>
      </c>
      <c r="C46" s="843">
        <v>15</v>
      </c>
      <c r="D46" s="967"/>
      <c r="E46" s="843"/>
      <c r="F46" s="843"/>
      <c r="G46" s="843"/>
      <c r="H46" s="891"/>
      <c r="I46" s="1005" t="str">
        <f>INDEX(TEMPLATE_NUMBER_POINT_FHD,B46,MATCH(TEMPLATE_SPHERE,TEMPLATE_SPHERE_LIST_FOR_NOTE,0))</f>
        <v>2.12</v>
      </c>
      <c r="J46" s="1005" t="str">
        <f>INDEX(TEMPLATE_DATA_POINT_FHD,B46,MATCH(TEMPLATE_SPHERE,TEMPLATE_SPHERE_LIST_FOR_NOTE,0))</f>
        <v>Расходы на капитальный и текущий ремонт основных средств</v>
      </c>
      <c r="K46" s="1005" t="str">
        <f>INDEX(TEMPLATE_NOTE_POINT_FHD,B46,MATCH(TEMPLATE_SPHERE,TEMPLATE_SPHERE_LIST_FOR_NOTE,0))</f>
        <v>Указывается информация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L46" s="844" t="str">
        <f>IF(I46=0,"",I46)</f>
        <v>2.12</v>
      </c>
      <c r="M46" s="844" t="str">
        <f>IF(J46=0,"",J46)</f>
        <v>Расходы на капитальный и текущий ремонт основных средств</v>
      </c>
      <c r="N46" s="844" t="str">
        <f>IF(K46=0,"",K46)</f>
        <v>Указывается информация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O46" s="957" t="s">
        <v>2116</v>
      </c>
      <c r="P46" s="957" t="s">
        <v>2094</v>
      </c>
      <c r="Q46" s="957" t="s">
        <v>2116</v>
      </c>
      <c r="R46" s="957" t="s">
        <v>2094</v>
      </c>
      <c r="S46" s="957"/>
      <c r="T46" s="844" t="str">
        <f>"Расходы на капитальный и текущий ремонт основных"&amp;IF(TITLE_TYPE_ORG="Регулируемая организация",""," производственных")&amp;" средств"</f>
        <v>Расходы на капитальный и текущий ремонт основных средств</v>
      </c>
      <c r="U46" s="843" t="s">
        <v>2117</v>
      </c>
      <c r="V46" s="843" t="s">
        <v>2117</v>
      </c>
      <c r="W46" s="843" t="s">
        <v>2117</v>
      </c>
      <c r="X46" s="843"/>
      <c r="Y46" s="1000"/>
      <c r="Z46" s="846" t="s">
        <v>2118</v>
      </c>
      <c r="AA46" s="846" t="s">
        <v>2119</v>
      </c>
      <c r="AB46" s="846" t="s">
        <v>2119</v>
      </c>
      <c r="AC46" s="846" t="s">
        <v>2119</v>
      </c>
      <c r="AD46" s="846"/>
    </row>
    <row customHeight="1" ht="54">
      <c r="A47" s="845"/>
      <c r="B47" s="899">
        <v>30</v>
      </c>
      <c r="C47" s="843" t="s">
        <v>2120</v>
      </c>
      <c r="D47" s="967"/>
      <c r="E47" s="843"/>
      <c r="F47" s="843"/>
      <c r="G47" s="843"/>
      <c r="H47" s="891"/>
      <c r="I47" s="1005" t="str">
        <f>INDEX(TEMPLATE_NUMBER_POINT_FHD,B47,MATCH(TEMPLATE_SPHERE,TEMPLATE_SPHERE_LIST_FOR_NOTE,0))</f>
        <v>2.12.1</v>
      </c>
      <c r="J47" s="1005" t="str">
        <f>INDEX(TEMPLATE_DATA_POINT_FHD,B47,MATCH(TEMPLATE_SPHERE,TEMPLATE_SPHERE_LIST_FOR_NOTE,0))</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K47" s="1005">
        <f>INDEX(TEMPLATE_NOTE_POINT_FHD,B47,MATCH(TEMPLATE_SPHERE,TEMPLATE_SPHERE_LIST_FOR_NOTE,0))</f>
        <v>0</v>
      </c>
      <c r="L47" s="844" t="str">
        <f>IF(I47=0,"",I47)</f>
        <v>2.12.1</v>
      </c>
      <c r="M47" s="844" t="str">
        <f>IF(J47=0,"",J47)</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N47" s="844" t="str">
        <f>IF(K47=0,"",K47)</f>
        <v/>
      </c>
      <c r="O47" s="957" t="s">
        <v>2121</v>
      </c>
      <c r="P47" s="957" t="s">
        <v>2098</v>
      </c>
      <c r="Q47" s="957" t="s">
        <v>2121</v>
      </c>
      <c r="R47" s="957" t="s">
        <v>2098</v>
      </c>
      <c r="S47" s="957"/>
      <c r="T47" s="843" t="s">
        <v>2122</v>
      </c>
      <c r="U47" s="843" t="s">
        <v>2122</v>
      </c>
      <c r="V47" s="843" t="s">
        <v>2122</v>
      </c>
      <c r="W47" s="843" t="s">
        <v>2122</v>
      </c>
      <c r="X47" s="843"/>
      <c r="Y47" s="1000"/>
      <c r="Z47" s="846"/>
      <c r="AA47" s="849"/>
      <c r="AB47" s="849"/>
      <c r="AC47" s="849"/>
      <c r="AD47" s="846"/>
    </row>
    <row customHeight="1" ht="54">
      <c r="A48" s="845"/>
      <c r="B48" s="899">
        <v>31</v>
      </c>
      <c r="C48" s="843">
        <v>16</v>
      </c>
      <c r="D48" s="967"/>
      <c r="E48" s="843"/>
      <c r="F48" s="843"/>
      <c r="G48" s="843"/>
      <c r="H48" s="891"/>
      <c r="I48" s="1005">
        <f>INDEX(TEMPLATE_NUMBER_POINT_FHD,B48,MATCH(TEMPLATE_SPHERE,TEMPLATE_SPHERE_LIST_FOR_NOTE,0))</f>
        <v>0</v>
      </c>
      <c r="J48" s="1005">
        <f>INDEX(TEMPLATE_DATA_POINT_FHD,B48,MATCH(TEMPLATE_SPHERE,TEMPLATE_SPHERE_LIST_FOR_NOTE,0))</f>
        <v>0</v>
      </c>
      <c r="K48" s="1005">
        <f>INDEX(TEMPLATE_NOTE_POINT_FHD,B48,MATCH(TEMPLATE_SPHERE,TEMPLATE_SPHERE_LIST_FOR_NOTE,0))</f>
        <v>0</v>
      </c>
      <c r="L48" s="844" t="str">
        <f>IF(I48=0,"",I48)</f>
        <v/>
      </c>
      <c r="M48" s="844" t="str">
        <f>IF(J48=0,"",J48)</f>
        <v/>
      </c>
      <c r="N48" s="844" t="str">
        <f>IF(K48=0,"",K48)</f>
        <v/>
      </c>
      <c r="O48" s="957"/>
      <c r="P48" s="957" t="s">
        <v>2105</v>
      </c>
      <c r="Q48" s="957" t="s">
        <v>2123</v>
      </c>
      <c r="R48" s="957" t="s">
        <v>2105</v>
      </c>
      <c r="S48" s="957"/>
      <c r="T48" s="843"/>
      <c r="U48" s="843" t="s">
        <v>2124</v>
      </c>
      <c r="V48" s="843" t="s">
        <v>2125</v>
      </c>
      <c r="W48" s="843" t="s">
        <v>2125</v>
      </c>
      <c r="X48" s="843"/>
      <c r="Y48" s="1000"/>
      <c r="Z48" s="846"/>
      <c r="AA48" s="849" t="s">
        <v>2119</v>
      </c>
      <c r="AB48" s="849" t="s">
        <v>2119</v>
      </c>
      <c r="AC48" s="849" t="s">
        <v>2119</v>
      </c>
      <c r="AD48" s="846"/>
    </row>
    <row customHeight="1" ht="54">
      <c r="A49" s="845"/>
      <c r="B49" s="899">
        <v>32</v>
      </c>
      <c r="C49" s="843" t="s">
        <v>2126</v>
      </c>
      <c r="D49" s="967"/>
      <c r="E49" s="843"/>
      <c r="F49" s="843"/>
      <c r="G49" s="843"/>
      <c r="H49" s="891"/>
      <c r="I49" s="1005">
        <f>INDEX(TEMPLATE_NUMBER_POINT_FHD,B49,MATCH(TEMPLATE_SPHERE,TEMPLATE_SPHERE_LIST_FOR_NOTE,0))</f>
        <v>0</v>
      </c>
      <c r="J49" s="1005">
        <f>INDEX(TEMPLATE_DATA_POINT_FHD,B49,MATCH(TEMPLATE_SPHERE,TEMPLATE_SPHERE_LIST_FOR_NOTE,0))</f>
        <v>0</v>
      </c>
      <c r="K49" s="1005">
        <f>INDEX(TEMPLATE_NOTE_POINT_FHD,B49,MATCH(TEMPLATE_SPHERE,TEMPLATE_SPHERE_LIST_FOR_NOTE,0))</f>
        <v>0</v>
      </c>
      <c r="L49" s="844" t="str">
        <f>IF(I49=0,"",I49)</f>
        <v/>
      </c>
      <c r="M49" s="844" t="str">
        <f>IF(J49=0,"",J49)</f>
        <v/>
      </c>
      <c r="N49" s="844" t="str">
        <f>IF(K49=0,"",K49)</f>
        <v/>
      </c>
      <c r="O49" s="957"/>
      <c r="P49" s="957" t="s">
        <v>2109</v>
      </c>
      <c r="Q49" s="957" t="s">
        <v>2127</v>
      </c>
      <c r="R49" s="957" t="s">
        <v>2109</v>
      </c>
      <c r="S49" s="957"/>
      <c r="T49" s="843"/>
      <c r="U49" s="843" t="s">
        <v>2122</v>
      </c>
      <c r="V49" s="843" t="s">
        <v>2122</v>
      </c>
      <c r="W49" s="843" t="s">
        <v>2122</v>
      </c>
      <c r="X49" s="843"/>
      <c r="Y49" s="1000"/>
      <c r="Z49" s="846"/>
      <c r="AA49" s="849"/>
      <c r="AB49" s="849"/>
      <c r="AC49" s="849"/>
      <c r="AD49" s="846"/>
    </row>
    <row customHeight="1" ht="126">
      <c r="A50" s="845"/>
      <c r="B50" s="899">
        <v>33</v>
      </c>
      <c r="C50" s="843">
        <v>17</v>
      </c>
      <c r="D50" s="967"/>
      <c r="E50" s="843"/>
      <c r="F50" s="843"/>
      <c r="G50" s="843"/>
      <c r="H50" s="891"/>
      <c r="I50" s="1005" t="str">
        <f>INDEX(TEMPLATE_NUMBER_POINT_FHD,B50,MATCH(TEMPLATE_SPHERE,TEMPLATE_SPHERE_LIST_FOR_NOTE,0))</f>
        <v>2.13</v>
      </c>
      <c r="J50" s="1005" t="str">
        <f>INDEX(TEMPLATE_DATA_POINT_FHD,B50,MATCH(TEMPLATE_SPHERE,TEMPLATE_SPHERE_LIST_FOR_NOTE,0))</f>
        <v>Прочие расходы, которые подлежат отнесению на регулируемые виды деятельности в соответствии с законодательством Российской Федерации</v>
      </c>
      <c r="K50" s="1005" t="str">
        <f>INDEX(TEMPLATE_NOTE_POINT_FHD,B50,MATCH(TEMPLATE_SPHERE,TEMPLATE_SPHERE_LIST_FOR_NOTE,0))</f>
        <v>Указывается общая сумма прочих расходов, которые подлежат отнесению на регулируемые виды деятельности в соответствии с законодательством в сфере теплоснабжения.</v>
      </c>
      <c r="L50" s="844" t="str">
        <f>IF(I50=0,"",I50)</f>
        <v>2.13</v>
      </c>
      <c r="M50" s="844" t="str">
        <f>IF(J50=0,"",J50)</f>
        <v>Прочие расходы, которые подлежат отнесению на регулируемые виды деятельности в соответствии с законодательством Российской Федерации</v>
      </c>
      <c r="N50" s="844" t="str">
        <f>IF(K50=0,"",K50)</f>
        <v>Указывается общая сумма прочих расходов, которые подлежат отнесению на регулируемые виды деятельности в соответствии с законодательством в сфере теплоснабжения.</v>
      </c>
      <c r="O50" s="957" t="s">
        <v>2123</v>
      </c>
      <c r="P50" s="957" t="s">
        <v>2116</v>
      </c>
      <c r="Q50" s="957" t="s">
        <v>2128</v>
      </c>
      <c r="R50" s="957" t="s">
        <v>2116</v>
      </c>
      <c r="S50" s="957"/>
      <c r="T50" s="843" t="s">
        <v>2129</v>
      </c>
      <c r="U50" s="843" t="s">
        <v>2130</v>
      </c>
      <c r="V50" s="843" t="s">
        <v>2131</v>
      </c>
      <c r="W50" s="843" t="s">
        <v>2132</v>
      </c>
      <c r="X50" s="843"/>
      <c r="Y50" s="1000"/>
      <c r="Z50" s="846" t="s">
        <v>2133</v>
      </c>
      <c r="AA50" s="849" t="s">
        <v>2134</v>
      </c>
      <c r="AB50" s="849" t="s">
        <v>2134</v>
      </c>
      <c r="AC50" s="849" t="s">
        <v>2134</v>
      </c>
      <c r="AD50" s="846"/>
    </row>
    <row customHeight="1" ht="27">
      <c r="A51" s="845"/>
      <c r="B51" s="899">
        <v>34</v>
      </c>
      <c r="C51" s="843" t="s">
        <v>2135</v>
      </c>
      <c r="D51" s="967"/>
      <c r="E51" s="843"/>
      <c r="F51" s="843"/>
      <c r="G51" s="843"/>
      <c r="H51" s="891"/>
      <c r="I51" s="1005" t="str">
        <f>INDEX(TEMPLATE_NUMBER_POINT_FHD,B51,MATCH(TEMPLATE_SPHERE,TEMPLATE_SPHERE_LIST_FOR_NOTE,0))</f>
        <v>3</v>
      </c>
      <c r="J51" s="1005" t="str">
        <f>INDEX(TEMPLATE_DATA_POINT_FHD,B51,MATCH(TEMPLATE_SPHERE,TEMPLATE_SPHERE_LIST_FOR_NOTE,0))</f>
        <v>Валовая прибыль (убытки) от реализации товаров и оказания услуг по регулируемому виду деятельности</v>
      </c>
      <c r="K51" s="1005">
        <f>INDEX(TEMPLATE_NOTE_POINT_FHD,B51,MATCH(TEMPLATE_SPHERE,TEMPLATE_SPHERE_LIST_FOR_NOTE,0))</f>
        <v>0</v>
      </c>
      <c r="L51" s="844" t="str">
        <f>IF(I51=0,"",I51)</f>
        <v>3</v>
      </c>
      <c r="M51" s="844" t="str">
        <f>IF(J51=0,"",J51)</f>
        <v>Валовая прибыль (убытки) от реализации товаров и оказания услуг по регулируемому виду деятельности</v>
      </c>
      <c r="N51" s="844" t="str">
        <f>IF(K51=0,"",K51)</f>
        <v/>
      </c>
      <c r="O51" s="957" t="s">
        <v>90</v>
      </c>
      <c r="P51" s="957"/>
      <c r="Q51" s="957"/>
      <c r="R51" s="957"/>
      <c r="S51" s="957"/>
      <c r="T51" s="843" t="s">
        <v>2136</v>
      </c>
      <c r="U51" s="843"/>
      <c r="V51" s="843"/>
      <c r="W51" s="843"/>
      <c r="X51" s="843"/>
      <c r="Y51" s="1000"/>
      <c r="Z51" s="846"/>
      <c r="AA51" s="849"/>
      <c r="AB51" s="849"/>
      <c r="AC51" s="849"/>
      <c r="AD51" s="846"/>
    </row>
    <row customHeight="1" ht="36">
      <c r="A52" s="845"/>
      <c r="B52" s="899">
        <v>35</v>
      </c>
      <c r="C52" s="843" t="s">
        <v>2029</v>
      </c>
      <c r="D52" s="967" t="s">
        <v>2029</v>
      </c>
      <c r="E52" s="843" t="s">
        <v>2029</v>
      </c>
      <c r="F52" s="843" t="s">
        <v>2029</v>
      </c>
      <c r="G52" s="843"/>
      <c r="H52" s="891"/>
      <c r="I52" s="1005" t="str">
        <f>INDEX(TEMPLATE_NUMBER_POINT_FHD,B52,MATCH(TEMPLATE_SPHERE,TEMPLATE_SPHERE_LIST_FOR_NOTE,0))</f>
        <v>4</v>
      </c>
      <c r="J52" s="1005" t="str">
        <f>INDEX(TEMPLATE_DATA_POINT_FHD,B52,MATCH(TEMPLATE_SPHERE,TEMPLATE_SPHERE_LIST_FOR_NOTE,0))</f>
        <v>Чистая прибыль, полученная от регулируемого вида деятельности, в том числе:</v>
      </c>
      <c r="K52" s="1005" t="str">
        <f>INDEX(TEMPLATE_NOTE_POINT_FHD,B52,MATCH(TEMPLATE_SPHERE,TEMPLATE_SPHERE_LIST_FOR_NOTE,0))</f>
        <v>Указывается общая сумма чистой прибыли, полученной от регулируемого вида деятельности.</v>
      </c>
      <c r="L52" s="844" t="str">
        <f>IF(I52=0,"",I52)</f>
        <v>4</v>
      </c>
      <c r="M52" s="844" t="str">
        <f>IF(J52=0,"",J52)</f>
        <v>Чистая прибыль, полученная от регулируемого вида деятельности, в том числе:</v>
      </c>
      <c r="N52" s="844" t="str">
        <f>IF(K52=0,"",K52)</f>
        <v>Указывается общая сумма чистой прибыли, полученной от регулируемого вида деятельности.</v>
      </c>
      <c r="O52" s="957" t="s">
        <v>91</v>
      </c>
      <c r="P52" s="957" t="s">
        <v>90</v>
      </c>
      <c r="Q52" s="957" t="s">
        <v>90</v>
      </c>
      <c r="R52" s="957" t="s">
        <v>90</v>
      </c>
      <c r="S52" s="957"/>
      <c r="T52" s="843" t="s">
        <v>2137</v>
      </c>
      <c r="U52" s="843" t="s">
        <v>2138</v>
      </c>
      <c r="V52" s="843" t="s">
        <v>2139</v>
      </c>
      <c r="W52" s="843" t="s">
        <v>2140</v>
      </c>
      <c r="X52" s="843"/>
      <c r="Y52" s="1000"/>
      <c r="Z52" s="846" t="s">
        <v>752</v>
      </c>
      <c r="AA52" s="849" t="s">
        <v>752</v>
      </c>
      <c r="AB52" s="849" t="s">
        <v>752</v>
      </c>
      <c r="AC52" s="849" t="s">
        <v>752</v>
      </c>
      <c r="AD52" s="846"/>
    </row>
    <row customHeight="1" ht="36">
      <c r="A53" s="845"/>
      <c r="B53" s="899">
        <v>36</v>
      </c>
      <c r="C53" s="843">
        <v>1</v>
      </c>
      <c r="D53" s="967"/>
      <c r="E53" s="843"/>
      <c r="F53" s="843"/>
      <c r="G53" s="843"/>
      <c r="H53" s="891"/>
      <c r="I53" s="1005" t="str">
        <f>INDEX(TEMPLATE_NUMBER_POINT_FHD,B53,MATCH(TEMPLATE_SPHERE,TEMPLATE_SPHERE_LIST_FOR_NOTE,0))</f>
        <v>4.1</v>
      </c>
      <c r="J53" s="1005" t="str">
        <f>INDEX(TEMPLATE_DATA_POINT_FHD,B53,MATCH(TEMPLATE_SPHERE,TEMPLATE_SPHERE_LIST_FOR_NOTE,0))</f>
        <v>Размер расходования чистой прибыли на финансирование мероприятий, предусмотренных инвестиционной программой регулируемой организации</v>
      </c>
      <c r="K53" s="1005">
        <f>INDEX(TEMPLATE_NOTE_POINT_FHD,B53,MATCH(TEMPLATE_SPHERE,TEMPLATE_SPHERE_LIST_FOR_NOTE,0))</f>
        <v>0</v>
      </c>
      <c r="L53" s="844" t="str">
        <f>IF(I53=0,"",I53)</f>
        <v>4.1</v>
      </c>
      <c r="M53" s="844" t="str">
        <f>IF(J53=0,"",J53)</f>
        <v>Размер расходования чистой прибыли на финансирование мероприятий, предусмотренных инвестиционной программой регулируемой организации</v>
      </c>
      <c r="N53" s="844" t="str">
        <f>IF(K53=0,"",K53)</f>
        <v/>
      </c>
      <c r="O53" s="957" t="s">
        <v>756</v>
      </c>
      <c r="P53" s="957" t="s">
        <v>326</v>
      </c>
      <c r="Q53" s="957" t="s">
        <v>326</v>
      </c>
      <c r="R53" s="957" t="s">
        <v>326</v>
      </c>
      <c r="S53" s="957"/>
      <c r="T53" s="843" t="s">
        <v>2141</v>
      </c>
      <c r="U53" s="843" t="s">
        <v>2141</v>
      </c>
      <c r="V53" s="843" t="s">
        <v>2141</v>
      </c>
      <c r="W53" s="843" t="s">
        <v>2141</v>
      </c>
      <c r="X53" s="843"/>
      <c r="Y53" s="1000"/>
      <c r="Z53" s="846"/>
      <c r="AA53" s="849"/>
      <c r="AB53" s="846"/>
      <c r="AC53" s="846"/>
      <c r="AD53" s="846"/>
    </row>
    <row customHeight="1" ht="18">
      <c r="A54" s="845"/>
      <c r="B54" s="899">
        <v>37</v>
      </c>
      <c r="C54" s="843" t="s">
        <v>2035</v>
      </c>
      <c r="D54" s="967" t="s">
        <v>2035</v>
      </c>
      <c r="E54" s="843" t="s">
        <v>2035</v>
      </c>
      <c r="F54" s="843" t="s">
        <v>2035</v>
      </c>
      <c r="G54" s="843"/>
      <c r="H54" s="891"/>
      <c r="I54" s="1005" t="str">
        <f>INDEX(TEMPLATE_NUMBER_POINT_FHD,B54,MATCH(TEMPLATE_SPHERE,TEMPLATE_SPHERE_LIST_FOR_NOTE,0))</f>
        <v>5</v>
      </c>
      <c r="J54" s="1005" t="str">
        <f>INDEX(TEMPLATE_DATA_POINT_FHD,B54,MATCH(TEMPLATE_SPHERE,TEMPLATE_SPHERE_LIST_FOR_NOTE,0))</f>
        <v>Изменение стоимости основных фондов, в том числе:</v>
      </c>
      <c r="K54" s="1005" t="str">
        <f>INDEX(TEMPLATE_NOTE_POINT_FHD,B54,MATCH(TEMPLATE_SPHERE,TEMPLATE_SPHERE_LIST_FOR_NOTE,0))</f>
        <v>Указывается общее изменение стоимости основных фондов.</v>
      </c>
      <c r="L54" s="844" t="str">
        <f>IF(I54=0,"",I54)</f>
        <v>5</v>
      </c>
      <c r="M54" s="844" t="str">
        <f>IF(J54=0,"",J54)</f>
        <v>Изменение стоимости основных фондов, в том числе:</v>
      </c>
      <c r="N54" s="844" t="str">
        <f>IF(K54=0,"",K54)</f>
        <v>Указывается общее изменение стоимости основных фондов.</v>
      </c>
      <c r="O54" s="957" t="s">
        <v>111</v>
      </c>
      <c r="P54" s="957" t="s">
        <v>91</v>
      </c>
      <c r="Q54" s="957" t="s">
        <v>91</v>
      </c>
      <c r="R54" s="957" t="s">
        <v>91</v>
      </c>
      <c r="S54" s="957"/>
      <c r="T54" s="843" t="s">
        <v>754</v>
      </c>
      <c r="U54" s="843" t="s">
        <v>754</v>
      </c>
      <c r="V54" s="843" t="s">
        <v>754</v>
      </c>
      <c r="W54" s="843" t="s">
        <v>754</v>
      </c>
      <c r="X54" s="843"/>
      <c r="Y54" s="1000"/>
      <c r="Z54" s="846" t="s">
        <v>755</v>
      </c>
      <c r="AA54" s="846" t="s">
        <v>755</v>
      </c>
      <c r="AB54" s="846" t="s">
        <v>755</v>
      </c>
      <c r="AC54" s="846" t="s">
        <v>755</v>
      </c>
      <c r="AD54" s="846"/>
    </row>
    <row customHeight="1" ht="36">
      <c r="A55" s="845"/>
      <c r="B55" s="899">
        <v>38</v>
      </c>
      <c r="C55" s="843">
        <v>1</v>
      </c>
      <c r="D55" s="967"/>
      <c r="E55" s="843"/>
      <c r="F55" s="843"/>
      <c r="G55" s="843"/>
      <c r="H55" s="891"/>
      <c r="I55" s="1005" t="str">
        <f>INDEX(TEMPLATE_NUMBER_POINT_FHD,B55,MATCH(TEMPLATE_SPHERE,TEMPLATE_SPHERE_LIST_FOR_NOTE,0))</f>
        <v>5.1</v>
      </c>
      <c r="J55" s="1005" t="str">
        <f>INDEX(TEMPLATE_DATA_POINT_FHD,B55,MATCH(TEMPLATE_SPHERE,TEMPLATE_SPHERE_LIST_FOR_NOTE,0))</f>
        <v>Изменение стоимости основных фондов за счет:</v>
      </c>
      <c r="K55" s="1005" t="str">
        <f>INDEX(TEMPLATE_NOTE_POINT_FHD,B55,MATCH(TEMPLATE_SPHERE,TEMPLATE_SPHERE_LIST_FOR_NOTE,0))</f>
        <v>Указываются общее изменение стоимости основных фондов за счет их ввода в эксплуатацию и вывода из эксплуатации.</v>
      </c>
      <c r="L55" s="844" t="str">
        <f>IF(I55=0,"",I55)</f>
        <v>5.1</v>
      </c>
      <c r="M55" s="844" t="str">
        <f>IF(J55=0,"",J55)</f>
        <v>Изменение стоимости основных фондов за счет:</v>
      </c>
      <c r="N55" s="844" t="str">
        <f>IF(K55=0,"",K55)</f>
        <v>Указываются общее изменение стоимости основных фондов за счет их ввода в эксплуатацию и вывода из эксплуатации.</v>
      </c>
      <c r="O55" s="957" t="s">
        <v>315</v>
      </c>
      <c r="P55" s="957" t="s">
        <v>756</v>
      </c>
      <c r="Q55" s="957" t="s">
        <v>756</v>
      </c>
      <c r="R55" s="957" t="s">
        <v>756</v>
      </c>
      <c r="S55" s="957"/>
      <c r="T55" s="844" t="str">
        <f>IF(TITLE_TYPE_ORG="Регулируемая организация","Изменение стоимости основных фондов за счет:","за счет их ввода в эксплуатацию (вывода из эксплуатации)")</f>
        <v>Изменение стоимости основных фондов за счет:</v>
      </c>
      <c r="U55" s="843" t="s">
        <v>2142</v>
      </c>
      <c r="V55" s="843" t="s">
        <v>2142</v>
      </c>
      <c r="W55" s="843" t="s">
        <v>2142</v>
      </c>
      <c r="X55" s="843"/>
      <c r="Y55" s="1000"/>
      <c r="Z55" s="846" t="s">
        <v>2143</v>
      </c>
      <c r="AA55" s="846" t="s">
        <v>2143</v>
      </c>
      <c r="AB55" s="846" t="s">
        <v>2143</v>
      </c>
      <c r="AC55" s="846" t="s">
        <v>2143</v>
      </c>
      <c r="AD55" s="846"/>
    </row>
    <row customHeight="1" ht="27">
      <c r="A56" s="845"/>
      <c r="B56" s="899">
        <v>39</v>
      </c>
      <c r="C56" s="843" t="s">
        <v>1025</v>
      </c>
      <c r="D56" s="967"/>
      <c r="E56" s="843"/>
      <c r="F56" s="843"/>
      <c r="G56" s="843"/>
      <c r="H56" s="891"/>
      <c r="I56" s="1005" t="str">
        <f>INDEX(TEMPLATE_NUMBER_POINT_FHD,B56,MATCH(TEMPLATE_SPHERE,TEMPLATE_SPHERE_LIST_FOR_NOTE,0))</f>
        <v>5.1.1</v>
      </c>
      <c r="J56" s="1005" t="str">
        <f>INDEX(TEMPLATE_DATA_POINT_FHD,B56,MATCH(TEMPLATE_SPHERE,TEMPLATE_SPHERE_LIST_FOR_NOTE,0))</f>
        <v>Изменения стоимости основных фондов за счет их ввода в эксплуатацию</v>
      </c>
      <c r="K56" s="1005" t="str">
        <f>INDEX(TEMPLATE_NOTE_POINT_FHD,B56,MATCH(TEMPLATE_SPHERE,TEMPLATE_SPHERE_LIST_FOR_NOTE,0))</f>
        <v>Указываются изменение стоимости основных фондов за счет их ввода в эксплуатацию.</v>
      </c>
      <c r="L56" s="844" t="str">
        <f>IF(I56=0,"",I56)</f>
        <v>5.1.1</v>
      </c>
      <c r="M56" s="844" t="str">
        <f>IF(J56=0,"",J56)</f>
        <v>Изменения стоимости основных фондов за счет их ввода в эксплуатацию</v>
      </c>
      <c r="N56" s="844" t="str">
        <f>IF(K56=0,"",K56)</f>
        <v>Указываются изменение стоимости основных фондов за счет их ввода в эксплуатацию.</v>
      </c>
      <c r="O56" s="957" t="s">
        <v>1142</v>
      </c>
      <c r="P56" s="957" t="s">
        <v>759</v>
      </c>
      <c r="Q56" s="957" t="s">
        <v>759</v>
      </c>
      <c r="R56" s="957" t="s">
        <v>759</v>
      </c>
      <c r="S56" s="957"/>
      <c r="T56" s="844" t="str">
        <f>IF(TITLE_TYPE_ORG="Регулируемая организация","Изменения стоимости основных фондов за счет их ввода в эксплуатацию","за счет их ввода в эксплуатацию")</f>
        <v>Изменения стоимости основных фондов за счет их ввода в эксплуатацию</v>
      </c>
      <c r="U56" s="843" t="s">
        <v>2144</v>
      </c>
      <c r="V56" s="843" t="s">
        <v>2144</v>
      </c>
      <c r="W56" s="843" t="s">
        <v>2144</v>
      </c>
      <c r="X56" s="843"/>
      <c r="Y56" s="1000"/>
      <c r="Z56" s="846" t="s">
        <v>761</v>
      </c>
      <c r="AA56" s="846" t="s">
        <v>761</v>
      </c>
      <c r="AB56" s="846" t="s">
        <v>761</v>
      </c>
      <c r="AC56" s="846" t="s">
        <v>761</v>
      </c>
      <c r="AD56" s="846"/>
    </row>
    <row customHeight="1" ht="27">
      <c r="A57" s="845"/>
      <c r="B57" s="899">
        <v>40</v>
      </c>
      <c r="C57" s="843" t="s">
        <v>1027</v>
      </c>
      <c r="D57" s="967"/>
      <c r="E57" s="843"/>
      <c r="F57" s="843"/>
      <c r="G57" s="843"/>
      <c r="H57" s="891"/>
      <c r="I57" s="1005" t="str">
        <f>INDEX(TEMPLATE_NUMBER_POINT_FHD,B57,MATCH(TEMPLATE_SPHERE,TEMPLATE_SPHERE_LIST_FOR_NOTE,0))</f>
        <v>5.1.2</v>
      </c>
      <c r="J57" s="1005" t="str">
        <f>INDEX(TEMPLATE_DATA_POINT_FHD,B57,MATCH(TEMPLATE_SPHERE,TEMPLATE_SPHERE_LIST_FOR_NOTE,0))</f>
        <v>Изменения стоимости основных фондов за счет их вывода в эксплуатацию</v>
      </c>
      <c r="K57" s="1005" t="str">
        <f>INDEX(TEMPLATE_NOTE_POINT_FHD,B57,MATCH(TEMPLATE_SPHERE,TEMPLATE_SPHERE_LIST_FOR_NOTE,0))</f>
        <v>Указываются изменение стоимости основных фондов за счет их вывода из эксплуатации.</v>
      </c>
      <c r="L57" s="844" t="str">
        <f>IF(I57=0,"",I57)</f>
        <v>5.1.2</v>
      </c>
      <c r="M57" s="844" t="str">
        <f>IF(J57=0,"",J57)</f>
        <v>Изменения стоимости основных фондов за счет их вывода в эксплуатацию</v>
      </c>
      <c r="N57" s="844" t="str">
        <f>IF(K57=0,"",K57)</f>
        <v>Указываются изменение стоимости основных фондов за счет их вывода из эксплуатации.</v>
      </c>
      <c r="O57" s="957" t="s">
        <v>2145</v>
      </c>
      <c r="P57" s="957" t="s">
        <v>762</v>
      </c>
      <c r="Q57" s="957" t="s">
        <v>762</v>
      </c>
      <c r="R57" s="957" t="s">
        <v>762</v>
      </c>
      <c r="S57" s="957"/>
      <c r="T57" s="844" t="str">
        <f>IF(TITLE_TYPE_ORG="Регулируемая организация","Изменения стоимости основных фондов за счет их вывода в эксплуатацию","за счет их вывода в эксплуатацию")</f>
        <v>Изменения стоимости основных фондов за счет их вывода в эксплуатацию</v>
      </c>
      <c r="U57" s="843" t="s">
        <v>2146</v>
      </c>
      <c r="V57" s="843" t="s">
        <v>2146</v>
      </c>
      <c r="W57" s="843" t="s">
        <v>2146</v>
      </c>
      <c r="X57" s="843"/>
      <c r="Y57" s="1000"/>
      <c r="Z57" s="846" t="s">
        <v>764</v>
      </c>
      <c r="AA57" s="846" t="s">
        <v>764</v>
      </c>
      <c r="AB57" s="846" t="s">
        <v>764</v>
      </c>
      <c r="AC57" s="846" t="s">
        <v>764</v>
      </c>
      <c r="AD57" s="846"/>
    </row>
    <row customHeight="1" ht="18">
      <c r="A58" s="845"/>
      <c r="B58" s="899">
        <v>41</v>
      </c>
      <c r="C58" s="843">
        <v>2</v>
      </c>
      <c r="D58" s="967"/>
      <c r="E58" s="843"/>
      <c r="F58" s="843"/>
      <c r="G58" s="843"/>
      <c r="H58" s="891"/>
      <c r="I58" s="1005" t="str">
        <f>INDEX(TEMPLATE_NUMBER_POINT_FHD,B58,MATCH(TEMPLATE_SPHERE,TEMPLATE_SPHERE_LIST_FOR_NOTE,0))</f>
        <v>5.2</v>
      </c>
      <c r="J58" s="1005" t="str">
        <f>INDEX(TEMPLATE_DATA_POINT_FHD,B58,MATCH(TEMPLATE_SPHERE,TEMPLATE_SPHERE_LIST_FOR_NOTE,0))</f>
        <v>Изменение стоимости основных фондов за счет их переоценки</v>
      </c>
      <c r="K58" s="1005">
        <f>INDEX(TEMPLATE_NOTE_POINT_FHD,B58,MATCH(TEMPLATE_SPHERE,TEMPLATE_SPHERE_LIST_FOR_NOTE,0))</f>
        <v>0</v>
      </c>
      <c r="L58" s="844" t="str">
        <f>IF(I58=0,"",I58)</f>
        <v>5.2</v>
      </c>
      <c r="M58" s="844" t="str">
        <f>IF(J58=0,"",J58)</f>
        <v>Изменение стоимости основных фондов за счет их переоценки</v>
      </c>
      <c r="N58" s="844" t="str">
        <f>IF(K58=0,"",K58)</f>
        <v/>
      </c>
      <c r="O58" s="957" t="s">
        <v>884</v>
      </c>
      <c r="P58" s="957" t="s">
        <v>798</v>
      </c>
      <c r="Q58" s="957" t="s">
        <v>798</v>
      </c>
      <c r="R58" s="957" t="s">
        <v>798</v>
      </c>
      <c r="S58" s="957"/>
      <c r="T58" s="844" t="str">
        <f>IF(TITLE_TYPE_ORG="Регулируемая организация","Изменение стоимости основных фондов за счет их переоценки","за счет их переоценки")</f>
        <v>Изменение стоимости основных фондов за счет их переоценки</v>
      </c>
      <c r="U58" s="843" t="s">
        <v>2147</v>
      </c>
      <c r="V58" s="843" t="s">
        <v>2147</v>
      </c>
      <c r="W58" s="843" t="s">
        <v>2147</v>
      </c>
      <c r="X58" s="843"/>
      <c r="Y58" s="1000"/>
      <c r="Z58" s="846"/>
      <c r="AA58" s="849"/>
      <c r="AB58" s="846"/>
      <c r="AC58" s="846"/>
      <c r="AD58" s="846"/>
    </row>
    <row customHeight="1" ht="36">
      <c r="A59" s="845"/>
      <c r="B59" s="899">
        <v>42</v>
      </c>
      <c r="C59" s="843">
        <v>3</v>
      </c>
      <c r="D59" s="967" t="s">
        <v>2135</v>
      </c>
      <c r="E59" s="843" t="s">
        <v>2135</v>
      </c>
      <c r="F59" s="843" t="s">
        <v>2135</v>
      </c>
      <c r="G59" s="843"/>
      <c r="H59" s="891"/>
      <c r="I59" s="1005">
        <f>INDEX(TEMPLATE_NUMBER_POINT_FHD,B59,MATCH(TEMPLATE_SPHERE,TEMPLATE_SPHERE_LIST_FOR_NOTE,0))</f>
        <v>0</v>
      </c>
      <c r="J59" s="1005">
        <f>INDEX(TEMPLATE_DATA_POINT_FHD,B59,MATCH(TEMPLATE_SPHERE,TEMPLATE_SPHERE_LIST_FOR_NOTE,0))</f>
        <v>0</v>
      </c>
      <c r="K59" s="1005">
        <f>INDEX(TEMPLATE_NOTE_POINT_FHD,B59,MATCH(TEMPLATE_SPHERE,TEMPLATE_SPHERE_LIST_FOR_NOTE,0))</f>
        <v>0</v>
      </c>
      <c r="L59" s="844" t="str">
        <f>IF(I59=0,"",I59)</f>
        <v/>
      </c>
      <c r="M59" s="844" t="str">
        <f>IF(J59=0,"",J59)</f>
        <v/>
      </c>
      <c r="N59" s="844" t="str">
        <f>IF(K59=0,"",K59)</f>
        <v/>
      </c>
      <c r="O59" s="957"/>
      <c r="P59" s="957" t="s">
        <v>111</v>
      </c>
      <c r="Q59" s="957" t="s">
        <v>111</v>
      </c>
      <c r="R59" s="957" t="s">
        <v>111</v>
      </c>
      <c r="S59" s="957"/>
      <c r="T59" s="843"/>
      <c r="U59" s="843" t="s">
        <v>2148</v>
      </c>
      <c r="V59" s="843" t="s">
        <v>2149</v>
      </c>
      <c r="W59" s="843" t="s">
        <v>2150</v>
      </c>
      <c r="X59" s="843"/>
      <c r="Y59" s="1000"/>
      <c r="Z59" s="846"/>
      <c r="AA59" s="849"/>
      <c r="AB59" s="846"/>
      <c r="AC59" s="846"/>
      <c r="AD59" s="846"/>
    </row>
    <row customHeight="1" ht="81">
      <c r="A60" s="845"/>
      <c r="B60" s="899">
        <v>43</v>
      </c>
      <c r="C60" s="843" t="s">
        <v>2151</v>
      </c>
      <c r="D60" s="967" t="s">
        <v>2151</v>
      </c>
      <c r="E60" s="843" t="s">
        <v>2151</v>
      </c>
      <c r="F60" s="843" t="s">
        <v>2151</v>
      </c>
      <c r="G60" s="843"/>
      <c r="H60" s="891"/>
      <c r="I60" s="1005" t="str">
        <f>INDEX(TEMPLATE_NUMBER_POINT_FHD,B60,MATCH(TEMPLATE_SPHERE,TEMPLATE_SPHERE_LIST_FOR_NOTE,0))</f>
        <v>6</v>
      </c>
      <c r="J60" s="1005" t="str">
        <f>INDEX(TEMPLATE_DATA_POINT_FHD,B60,MATCH(TEMPLATE_SPHERE,TEMPLATE_SPHERE_LIST_FOR_NOTE,0))</f>
        <v>Годовая бухгалтерская (финансовая) отчетность, включая бухгалтерский баланс и приложения к нему</v>
      </c>
      <c r="K60" s="1005" t="str">
        <f>INDEX(TEMPLATE_NOTE_POINT_FHD,B60,MATCH(TEMPLATE_SPHERE,TEMPLATE_SPHERE_LIST_FOR_NOTE,0))</f>
        <v>Указывается ссылка на документ, предварительно загруженный в хранилище файлов ФГИС ЕИАС.
Регулируемыми организациями информация раскрывается в случае, если выручка от регулируемых видов деятельности превышает 80 процентов совокупной выручки за отчетный год.</v>
      </c>
      <c r="L60" s="844" t="str">
        <f>IF(I60=0,"",I60)</f>
        <v>6</v>
      </c>
      <c r="M60" s="844" t="str">
        <f>IF(J60=0,"",J60)</f>
        <v>Годовая бухгалтерская (финансовая) отчетность, включая бухгалтерский баланс и приложения к нему</v>
      </c>
      <c r="N60" s="844" t="str">
        <f>IF(K60=0,"",K60)</f>
        <v>Указывается ссылка на документ, предварительно загруженный в хранилище файлов ФГИС ЕИАС.
Регулируемыми организациями информация раскрывается в случае, если выручка от регулируемых видов деятельности превышает 80 процентов совокупной выручки за отчетный год.</v>
      </c>
      <c r="O60" s="957" t="s">
        <v>92</v>
      </c>
      <c r="P60" s="957" t="s">
        <v>92</v>
      </c>
      <c r="Q60" s="957" t="s">
        <v>92</v>
      </c>
      <c r="R60" s="957" t="s">
        <v>92</v>
      </c>
      <c r="S60" s="957"/>
      <c r="T60" s="843" t="s">
        <v>632</v>
      </c>
      <c r="U60" s="843" t="s">
        <v>632</v>
      </c>
      <c r="V60" s="843" t="s">
        <v>632</v>
      </c>
      <c r="W60" s="843" t="s">
        <v>632</v>
      </c>
      <c r="X60" s="843"/>
      <c r="Y60" s="1000"/>
      <c r="Z60" s="846" t="s">
        <v>2152</v>
      </c>
      <c r="AA60" s="849" t="s">
        <v>2153</v>
      </c>
      <c r="AB60" s="846" t="s">
        <v>2154</v>
      </c>
      <c r="AC60" s="846" t="s">
        <v>2153</v>
      </c>
      <c r="AD60" s="846"/>
    </row>
    <row customHeight="1" ht="9">
      <c r="A61" s="845"/>
      <c r="B61" s="899">
        <v>44</v>
      </c>
      <c r="C61" s="843"/>
      <c r="D61" s="967" t="s">
        <v>2155</v>
      </c>
      <c r="E61" s="843"/>
      <c r="F61" s="843"/>
      <c r="G61" s="843"/>
      <c r="H61" s="891"/>
      <c r="I61" s="1005">
        <f>INDEX(TEMPLATE_NUMBER_POINT_FHD,B61,MATCH(TEMPLATE_SPHERE,TEMPLATE_SPHERE_LIST_FOR_NOTE,0))</f>
        <v>0</v>
      </c>
      <c r="J61" s="1005">
        <f>INDEX(TEMPLATE_DATA_POINT_FHD,B61,MATCH(TEMPLATE_SPHERE,TEMPLATE_SPHERE_LIST_FOR_NOTE,0))</f>
        <v>0</v>
      </c>
      <c r="K61" s="1005">
        <f>INDEX(TEMPLATE_NOTE_POINT_FHD,B61,MATCH(TEMPLATE_SPHERE,TEMPLATE_SPHERE_LIST_FOR_NOTE,0))</f>
        <v>0</v>
      </c>
      <c r="L61" s="844" t="str">
        <f>IF(I61=0,"",I61)</f>
        <v/>
      </c>
      <c r="M61" s="844" t="str">
        <f>IF(J61=0,"",J61)</f>
        <v/>
      </c>
      <c r="N61" s="844" t="str">
        <f>IF(K61=0,"",K61)</f>
        <v/>
      </c>
      <c r="O61" s="957"/>
      <c r="P61" s="957" t="s">
        <v>93</v>
      </c>
      <c r="Q61" s="957"/>
      <c r="R61" s="957"/>
      <c r="S61" s="957"/>
      <c r="T61" s="843"/>
      <c r="U61" s="843" t="s">
        <v>2156</v>
      </c>
      <c r="V61" s="843"/>
      <c r="W61" s="843"/>
      <c r="X61" s="843"/>
      <c r="Y61" s="1000"/>
      <c r="Z61" s="846"/>
      <c r="AA61" s="849"/>
      <c r="AB61" s="846"/>
      <c r="AC61" s="846"/>
      <c r="AD61" s="846"/>
    </row>
    <row customHeight="1" ht="9">
      <c r="A62" s="845"/>
      <c r="B62" s="899">
        <v>45</v>
      </c>
      <c r="C62" s="843"/>
      <c r="D62" s="967" t="s">
        <v>2157</v>
      </c>
      <c r="E62" s="843"/>
      <c r="F62" s="843"/>
      <c r="G62" s="843"/>
      <c r="H62" s="891"/>
      <c r="I62" s="1005">
        <f>INDEX(TEMPLATE_NUMBER_POINT_FHD,B62,MATCH(TEMPLATE_SPHERE,TEMPLATE_SPHERE_LIST_FOR_NOTE,0))</f>
        <v>0</v>
      </c>
      <c r="J62" s="1005">
        <f>INDEX(TEMPLATE_DATA_POINT_FHD,B62,MATCH(TEMPLATE_SPHERE,TEMPLATE_SPHERE_LIST_FOR_NOTE,0))</f>
        <v>0</v>
      </c>
      <c r="K62" s="1005">
        <f>INDEX(TEMPLATE_NOTE_POINT_FHD,B62,MATCH(TEMPLATE_SPHERE,TEMPLATE_SPHERE_LIST_FOR_NOTE,0))</f>
        <v>0</v>
      </c>
      <c r="L62" s="844" t="str">
        <f>IF(I62=0,"",I62)</f>
        <v/>
      </c>
      <c r="M62" s="844" t="str">
        <f>IF(J62=0,"",J62)</f>
        <v/>
      </c>
      <c r="N62" s="844" t="str">
        <f>IF(K62=0,"",K62)</f>
        <v/>
      </c>
      <c r="O62" s="957"/>
      <c r="P62" s="957" t="s">
        <v>112</v>
      </c>
      <c r="Q62" s="957"/>
      <c r="R62" s="957"/>
      <c r="S62" s="957"/>
      <c r="T62" s="843"/>
      <c r="U62" s="843" t="s">
        <v>2158</v>
      </c>
      <c r="V62" s="843"/>
      <c r="W62" s="843"/>
      <c r="X62" s="843"/>
      <c r="Y62" s="1000"/>
      <c r="Z62" s="846"/>
      <c r="AA62" s="849"/>
      <c r="AB62" s="846"/>
      <c r="AC62" s="846"/>
      <c r="AD62" s="846"/>
    </row>
    <row customHeight="1" ht="18">
      <c r="A63" s="845"/>
      <c r="B63" s="899">
        <v>46</v>
      </c>
      <c r="C63" s="843"/>
      <c r="D63" s="967" t="s">
        <v>2159</v>
      </c>
      <c r="E63" s="843"/>
      <c r="F63" s="843"/>
      <c r="G63" s="843"/>
      <c r="H63" s="891"/>
      <c r="I63" s="1005">
        <f>INDEX(TEMPLATE_NUMBER_POINT_FHD,B63,MATCH(TEMPLATE_SPHERE,TEMPLATE_SPHERE_LIST_FOR_NOTE,0))</f>
        <v>0</v>
      </c>
      <c r="J63" s="1005">
        <f>INDEX(TEMPLATE_DATA_POINT_FHD,B63,MATCH(TEMPLATE_SPHERE,TEMPLATE_SPHERE_LIST_FOR_NOTE,0))</f>
        <v>0</v>
      </c>
      <c r="K63" s="1005">
        <f>INDEX(TEMPLATE_NOTE_POINT_FHD,B63,MATCH(TEMPLATE_SPHERE,TEMPLATE_SPHERE_LIST_FOR_NOTE,0))</f>
        <v>0</v>
      </c>
      <c r="L63" s="844" t="str">
        <f>IF(I63=0,"",I63)</f>
        <v/>
      </c>
      <c r="M63" s="844" t="str">
        <f>IF(J63=0,"",J63)</f>
        <v/>
      </c>
      <c r="N63" s="844" t="str">
        <f>IF(K63=0,"",K63)</f>
        <v/>
      </c>
      <c r="O63" s="957"/>
      <c r="P63" s="957" t="s">
        <v>152</v>
      </c>
      <c r="Q63" s="957"/>
      <c r="R63" s="957"/>
      <c r="S63" s="957"/>
      <c r="T63" s="843"/>
      <c r="U63" s="843" t="s">
        <v>2160</v>
      </c>
      <c r="V63" s="843"/>
      <c r="W63" s="843"/>
      <c r="X63" s="843"/>
      <c r="Y63" s="1000"/>
      <c r="Z63" s="846"/>
      <c r="AA63" s="849"/>
      <c r="AB63" s="846"/>
      <c r="AC63" s="846"/>
      <c r="AD63" s="846"/>
    </row>
    <row customHeight="1" ht="18">
      <c r="A64" s="845"/>
      <c r="B64" s="899">
        <v>47</v>
      </c>
      <c r="C64" s="843"/>
      <c r="D64" s="967" t="s">
        <v>2161</v>
      </c>
      <c r="E64" s="843"/>
      <c r="F64" s="843"/>
      <c r="G64" s="843"/>
      <c r="H64" s="891"/>
      <c r="I64" s="1005">
        <f>INDEX(TEMPLATE_NUMBER_POINT_FHD,B64,MATCH(TEMPLATE_SPHERE,TEMPLATE_SPHERE_LIST_FOR_NOTE,0))</f>
        <v>0</v>
      </c>
      <c r="J64" s="1005">
        <f>INDEX(TEMPLATE_DATA_POINT_FHD,B64,MATCH(TEMPLATE_SPHERE,TEMPLATE_SPHERE_LIST_FOR_NOTE,0))</f>
        <v>0</v>
      </c>
      <c r="K64" s="1005">
        <f>INDEX(TEMPLATE_NOTE_POINT_FHD,B64,MATCH(TEMPLATE_SPHERE,TEMPLATE_SPHERE_LIST_FOR_NOTE,0))</f>
        <v>0</v>
      </c>
      <c r="L64" s="844" t="str">
        <f>IF(I64=0,"",I64)</f>
        <v/>
      </c>
      <c r="M64" s="844" t="str">
        <f>IF(J64=0,"",J64)</f>
        <v/>
      </c>
      <c r="N64" s="844" t="str">
        <f>IF(K64=0,"",K64)</f>
        <v/>
      </c>
      <c r="O64" s="957"/>
      <c r="P64" s="957" t="s">
        <v>153</v>
      </c>
      <c r="Q64" s="957"/>
      <c r="R64" s="957"/>
      <c r="S64" s="957"/>
      <c r="T64" s="843"/>
      <c r="U64" s="843" t="s">
        <v>2162</v>
      </c>
      <c r="V64" s="843"/>
      <c r="W64" s="843"/>
      <c r="X64" s="843"/>
      <c r="Y64" s="1000"/>
      <c r="Z64" s="846"/>
      <c r="AA64" s="849" t="s">
        <v>2163</v>
      </c>
      <c r="AB64" s="846"/>
      <c r="AC64" s="846"/>
      <c r="AD64" s="846"/>
    </row>
    <row customHeight="1" ht="18">
      <c r="A65" s="845"/>
      <c r="B65" s="899">
        <v>48</v>
      </c>
      <c r="C65" s="843"/>
      <c r="D65" s="967"/>
      <c r="E65" s="843"/>
      <c r="F65" s="843"/>
      <c r="G65" s="843"/>
      <c r="H65" s="891"/>
      <c r="I65" s="1005">
        <f>INDEX(TEMPLATE_NUMBER_POINT_FHD,B65,MATCH(TEMPLATE_SPHERE,TEMPLATE_SPHERE_LIST_FOR_NOTE,0))</f>
        <v>0</v>
      </c>
      <c r="J65" s="1005">
        <f>INDEX(TEMPLATE_DATA_POINT_FHD,B65,MATCH(TEMPLATE_SPHERE,TEMPLATE_SPHERE_LIST_FOR_NOTE,0))</f>
        <v>0</v>
      </c>
      <c r="K65" s="1005">
        <f>INDEX(TEMPLATE_NOTE_POINT_FHD,B65,MATCH(TEMPLATE_SPHERE,TEMPLATE_SPHERE_LIST_FOR_NOTE,0))</f>
        <v>0</v>
      </c>
      <c r="L65" s="844" t="str">
        <f>IF(I65=0,"",I65)</f>
        <v/>
      </c>
      <c r="M65" s="844" t="str">
        <f>IF(J65=0,"",J65)</f>
        <v/>
      </c>
      <c r="N65" s="844" t="str">
        <f>IF(K65=0,"",K65)</f>
        <v/>
      </c>
      <c r="O65" s="957"/>
      <c r="P65" s="957" t="s">
        <v>2076</v>
      </c>
      <c r="Q65" s="957"/>
      <c r="R65" s="957"/>
      <c r="S65" s="957"/>
      <c r="T65" s="843"/>
      <c r="U65" s="843" t="s">
        <v>2164</v>
      </c>
      <c r="V65" s="843"/>
      <c r="W65" s="843"/>
      <c r="X65" s="843"/>
      <c r="Y65" s="1000"/>
      <c r="Z65" s="846"/>
      <c r="AA65" s="849"/>
      <c r="AB65" s="846"/>
      <c r="AC65" s="846"/>
      <c r="AD65" s="846"/>
    </row>
    <row customHeight="1" ht="18">
      <c r="A66" s="845"/>
      <c r="B66" s="899">
        <v>49</v>
      </c>
      <c r="C66" s="843"/>
      <c r="D66" s="967"/>
      <c r="E66" s="843"/>
      <c r="F66" s="843"/>
      <c r="G66" s="843"/>
      <c r="H66" s="891"/>
      <c r="I66" s="1005">
        <f>INDEX(TEMPLATE_NUMBER_POINT_FHD,B66,MATCH(TEMPLATE_SPHERE,TEMPLATE_SPHERE_LIST_FOR_NOTE,0))</f>
        <v>0</v>
      </c>
      <c r="J66" s="1005">
        <f>INDEX(TEMPLATE_DATA_POINT_FHD,B66,MATCH(TEMPLATE_SPHERE,TEMPLATE_SPHERE_LIST_FOR_NOTE,0))</f>
        <v>0</v>
      </c>
      <c r="K66" s="1005">
        <f>INDEX(TEMPLATE_NOTE_POINT_FHD,B66,MATCH(TEMPLATE_SPHERE,TEMPLATE_SPHERE_LIST_FOR_NOTE,0))</f>
        <v>0</v>
      </c>
      <c r="L66" s="844" t="str">
        <f>IF(I66=0,"",I66)</f>
        <v/>
      </c>
      <c r="M66" s="844" t="str">
        <f>IF(J66=0,"",J66)</f>
        <v/>
      </c>
      <c r="N66" s="844" t="str">
        <f>IF(K66=0,"",K66)</f>
        <v/>
      </c>
      <c r="O66" s="957"/>
      <c r="P66" s="957" t="s">
        <v>2080</v>
      </c>
      <c r="Q66" s="957"/>
      <c r="R66" s="957"/>
      <c r="S66" s="957"/>
      <c r="T66" s="843"/>
      <c r="U66" s="843" t="s">
        <v>2165</v>
      </c>
      <c r="V66" s="843"/>
      <c r="W66" s="843"/>
      <c r="X66" s="843"/>
      <c r="Y66" s="1000"/>
      <c r="Z66" s="846"/>
      <c r="AA66" s="849"/>
      <c r="AB66" s="846"/>
      <c r="AC66" s="846"/>
      <c r="AD66" s="846"/>
    </row>
    <row customHeight="1" ht="27">
      <c r="A67" s="845"/>
      <c r="B67" s="899">
        <v>50</v>
      </c>
      <c r="C67" s="843"/>
      <c r="D67" s="967"/>
      <c r="E67" s="843"/>
      <c r="F67" s="843"/>
      <c r="G67" s="843"/>
      <c r="H67" s="891"/>
      <c r="I67" s="1005">
        <f>INDEX(TEMPLATE_NUMBER_POINT_FHD,B67,MATCH(TEMPLATE_SPHERE,TEMPLATE_SPHERE_LIST_FOR_NOTE,0))</f>
        <v>0</v>
      </c>
      <c r="J67" s="1005">
        <f>INDEX(TEMPLATE_DATA_POINT_FHD,B67,MATCH(TEMPLATE_SPHERE,TEMPLATE_SPHERE_LIST_FOR_NOTE,0))</f>
        <v>0</v>
      </c>
      <c r="K67" s="1005">
        <f>INDEX(TEMPLATE_NOTE_POINT_FHD,B67,MATCH(TEMPLATE_SPHERE,TEMPLATE_SPHERE_LIST_FOR_NOTE,0))</f>
        <v>0</v>
      </c>
      <c r="L67" s="844" t="str">
        <f>IF(I67=0,"",I67)</f>
        <v/>
      </c>
      <c r="M67" s="844" t="str">
        <f>IF(J67=0,"",J67)</f>
        <v/>
      </c>
      <c r="N67" s="844" t="str">
        <f>IF(K67=0,"",K67)</f>
        <v/>
      </c>
      <c r="O67" s="957"/>
      <c r="P67" s="957" t="s">
        <v>2166</v>
      </c>
      <c r="Q67" s="957"/>
      <c r="R67" s="957"/>
      <c r="S67" s="957"/>
      <c r="T67" s="843"/>
      <c r="U67" s="843" t="s">
        <v>2167</v>
      </c>
      <c r="V67" s="843"/>
      <c r="W67" s="843"/>
      <c r="X67" s="843"/>
      <c r="Y67" s="1000"/>
      <c r="Z67" s="846"/>
      <c r="AA67" s="849"/>
      <c r="AB67" s="846"/>
      <c r="AC67" s="846"/>
      <c r="AD67" s="846"/>
    </row>
    <row customHeight="1" ht="27">
      <c r="A68" s="845"/>
      <c r="B68" s="899">
        <v>51</v>
      </c>
      <c r="C68" s="843"/>
      <c r="D68" s="967"/>
      <c r="E68" s="843"/>
      <c r="F68" s="843"/>
      <c r="G68" s="843"/>
      <c r="H68" s="891"/>
      <c r="I68" s="1005">
        <f>INDEX(TEMPLATE_NUMBER_POINT_FHD,B68,MATCH(TEMPLATE_SPHERE,TEMPLATE_SPHERE_LIST_FOR_NOTE,0))</f>
        <v>0</v>
      </c>
      <c r="J68" s="1005">
        <f>INDEX(TEMPLATE_DATA_POINT_FHD,B68,MATCH(TEMPLATE_SPHERE,TEMPLATE_SPHERE_LIST_FOR_NOTE,0))</f>
        <v>0</v>
      </c>
      <c r="K68" s="1005">
        <f>INDEX(TEMPLATE_NOTE_POINT_FHD,B68,MATCH(TEMPLATE_SPHERE,TEMPLATE_SPHERE_LIST_FOR_NOTE,0))</f>
        <v>0</v>
      </c>
      <c r="L68" s="844" t="str">
        <f>IF(I68=0,"",I68)</f>
        <v/>
      </c>
      <c r="M68" s="844" t="str">
        <f>IF(J68=0,"",J68)</f>
        <v/>
      </c>
      <c r="N68" s="844" t="str">
        <f>IF(K68=0,"",K68)</f>
        <v/>
      </c>
      <c r="O68" s="957"/>
      <c r="P68" s="957" t="s">
        <v>2168</v>
      </c>
      <c r="Q68" s="957"/>
      <c r="R68" s="957"/>
      <c r="S68" s="957"/>
      <c r="T68" s="843"/>
      <c r="U68" s="843" t="s">
        <v>2169</v>
      </c>
      <c r="V68" s="843"/>
      <c r="W68" s="843"/>
      <c r="X68" s="843"/>
      <c r="Y68" s="1000"/>
      <c r="Z68" s="846"/>
      <c r="AA68" s="849"/>
      <c r="AB68" s="846"/>
      <c r="AC68" s="846"/>
      <c r="AD68" s="846"/>
    </row>
    <row customHeight="1" ht="9">
      <c r="A69" s="845"/>
      <c r="B69" s="899">
        <v>52</v>
      </c>
      <c r="C69" s="843"/>
      <c r="D69" s="967" t="s">
        <v>2170</v>
      </c>
      <c r="E69" s="843"/>
      <c r="F69" s="843"/>
      <c r="G69" s="843"/>
      <c r="H69" s="891"/>
      <c r="I69" s="1005">
        <f>INDEX(TEMPLATE_NUMBER_POINT_FHD,B69,MATCH(TEMPLATE_SPHERE,TEMPLATE_SPHERE_LIST_FOR_NOTE,0))</f>
        <v>0</v>
      </c>
      <c r="J69" s="1005">
        <f>INDEX(TEMPLATE_DATA_POINT_FHD,B69,MATCH(TEMPLATE_SPHERE,TEMPLATE_SPHERE_LIST_FOR_NOTE,0))</f>
        <v>0</v>
      </c>
      <c r="K69" s="1005">
        <f>INDEX(TEMPLATE_NOTE_POINT_FHD,B69,MATCH(TEMPLATE_SPHERE,TEMPLATE_SPHERE_LIST_FOR_NOTE,0))</f>
        <v>0</v>
      </c>
      <c r="L69" s="844" t="str">
        <f>IF(I69=0,"",I69)</f>
        <v/>
      </c>
      <c r="M69" s="844" t="str">
        <f>IF(J69=0,"",J69)</f>
        <v/>
      </c>
      <c r="N69" s="844" t="str">
        <f>IF(K69=0,"",K69)</f>
        <v/>
      </c>
      <c r="O69" s="957"/>
      <c r="P69" s="957" t="s">
        <v>154</v>
      </c>
      <c r="Q69" s="957"/>
      <c r="R69" s="957"/>
      <c r="S69" s="957"/>
      <c r="T69" s="843"/>
      <c r="U69" s="843" t="s">
        <v>2171</v>
      </c>
      <c r="V69" s="843"/>
      <c r="W69" s="843"/>
      <c r="X69" s="843"/>
      <c r="Y69" s="1000"/>
      <c r="Z69" s="846"/>
      <c r="AA69" s="849"/>
      <c r="AB69" s="846"/>
      <c r="AC69" s="846"/>
      <c r="AD69" s="846"/>
    </row>
    <row customHeight="1" ht="27">
      <c r="A70" s="845"/>
      <c r="B70" s="899">
        <v>53</v>
      </c>
      <c r="C70" s="843"/>
      <c r="D70" s="967"/>
      <c r="E70" s="843" t="s">
        <v>2155</v>
      </c>
      <c r="F70" s="843"/>
      <c r="G70" s="843"/>
      <c r="H70" s="891"/>
      <c r="I70" s="1005">
        <f>INDEX(TEMPLATE_NUMBER_POINT_FHD,B70,MATCH(TEMPLATE_SPHERE,TEMPLATE_SPHERE_LIST_FOR_NOTE,0))</f>
        <v>0</v>
      </c>
      <c r="J70" s="1005">
        <f>INDEX(TEMPLATE_DATA_POINT_FHD,B70,MATCH(TEMPLATE_SPHERE,TEMPLATE_SPHERE_LIST_FOR_NOTE,0))</f>
        <v>0</v>
      </c>
      <c r="K70" s="1005">
        <f>INDEX(TEMPLATE_NOTE_POINT_FHD,B70,MATCH(TEMPLATE_SPHERE,TEMPLATE_SPHERE_LIST_FOR_NOTE,0))</f>
        <v>0</v>
      </c>
      <c r="L70" s="844" t="str">
        <f>IF(I70=0,"",I70)</f>
        <v/>
      </c>
      <c r="M70" s="844" t="str">
        <f>IF(J70=0,"",J70)</f>
        <v/>
      </c>
      <c r="N70" s="844" t="str">
        <f>IF(K70=0,"",K70)</f>
        <v/>
      </c>
      <c r="O70" s="957"/>
      <c r="P70" s="957"/>
      <c r="Q70" s="957" t="s">
        <v>93</v>
      </c>
      <c r="R70" s="957"/>
      <c r="S70" s="957"/>
      <c r="T70" s="843"/>
      <c r="U70" s="843"/>
      <c r="V70" s="843" t="s">
        <v>2172</v>
      </c>
      <c r="W70" s="843"/>
      <c r="X70" s="843"/>
      <c r="Y70" s="1000"/>
      <c r="Z70" s="846"/>
      <c r="AA70" s="849"/>
      <c r="AB70" s="846"/>
      <c r="AC70" s="846"/>
      <c r="AD70" s="846"/>
    </row>
    <row customHeight="1" ht="36">
      <c r="A71" s="845"/>
      <c r="B71" s="899">
        <v>54</v>
      </c>
      <c r="C71" s="843"/>
      <c r="D71" s="967"/>
      <c r="E71" s="843" t="s">
        <v>2157</v>
      </c>
      <c r="F71" s="843"/>
      <c r="G71" s="843"/>
      <c r="H71" s="891"/>
      <c r="I71" s="1005">
        <f>INDEX(TEMPLATE_NUMBER_POINT_FHD,B71,MATCH(TEMPLATE_SPHERE,TEMPLATE_SPHERE_LIST_FOR_NOTE,0))</f>
        <v>0</v>
      </c>
      <c r="J71" s="1005">
        <f>INDEX(TEMPLATE_DATA_POINT_FHD,B71,MATCH(TEMPLATE_SPHERE,TEMPLATE_SPHERE_LIST_FOR_NOTE,0))</f>
        <v>0</v>
      </c>
      <c r="K71" s="1005">
        <f>INDEX(TEMPLATE_NOTE_POINT_FHD,B71,MATCH(TEMPLATE_SPHERE,TEMPLATE_SPHERE_LIST_FOR_NOTE,0))</f>
        <v>0</v>
      </c>
      <c r="L71" s="844" t="str">
        <f>IF(I71=0,"",I71)</f>
        <v/>
      </c>
      <c r="M71" s="844" t="str">
        <f>IF(J71=0,"",J71)</f>
        <v/>
      </c>
      <c r="N71" s="844" t="str">
        <f>IF(K71=0,"",K71)</f>
        <v/>
      </c>
      <c r="O71" s="957"/>
      <c r="P71" s="957"/>
      <c r="Q71" s="957" t="s">
        <v>112</v>
      </c>
      <c r="R71" s="957"/>
      <c r="S71" s="957"/>
      <c r="T71" s="843"/>
      <c r="U71" s="843"/>
      <c r="V71" s="843" t="s">
        <v>2173</v>
      </c>
      <c r="W71" s="843"/>
      <c r="X71" s="843"/>
      <c r="Y71" s="1000"/>
      <c r="Z71" s="846"/>
      <c r="AA71" s="849"/>
      <c r="AB71" s="846"/>
      <c r="AC71" s="846"/>
      <c r="AD71" s="846"/>
    </row>
    <row customHeight="1" ht="27">
      <c r="A72" s="845"/>
      <c r="B72" s="899">
        <v>55</v>
      </c>
      <c r="C72" s="843"/>
      <c r="D72" s="967"/>
      <c r="E72" s="843" t="s">
        <v>2159</v>
      </c>
      <c r="F72" s="843"/>
      <c r="G72" s="843"/>
      <c r="H72" s="891"/>
      <c r="I72" s="1005">
        <f>INDEX(TEMPLATE_NUMBER_POINT_FHD,B72,MATCH(TEMPLATE_SPHERE,TEMPLATE_SPHERE_LIST_FOR_NOTE,0))</f>
        <v>0</v>
      </c>
      <c r="J72" s="1005">
        <f>INDEX(TEMPLATE_DATA_POINT_FHD,B72,MATCH(TEMPLATE_SPHERE,TEMPLATE_SPHERE_LIST_FOR_NOTE,0))</f>
        <v>0</v>
      </c>
      <c r="K72" s="1005">
        <f>INDEX(TEMPLATE_NOTE_POINT_FHD,B72,MATCH(TEMPLATE_SPHERE,TEMPLATE_SPHERE_LIST_FOR_NOTE,0))</f>
        <v>0</v>
      </c>
      <c r="L72" s="844" t="str">
        <f>IF(I72=0,"",I72)</f>
        <v/>
      </c>
      <c r="M72" s="844" t="str">
        <f>IF(J72=0,"",J72)</f>
        <v/>
      </c>
      <c r="N72" s="844" t="str">
        <f>IF(K72=0,"",K72)</f>
        <v/>
      </c>
      <c r="O72" s="957"/>
      <c r="P72" s="957"/>
      <c r="Q72" s="957" t="s">
        <v>152</v>
      </c>
      <c r="R72" s="957"/>
      <c r="S72" s="957"/>
      <c r="T72" s="843"/>
      <c r="U72" s="843"/>
      <c r="V72" s="843" t="s">
        <v>2174</v>
      </c>
      <c r="W72" s="843"/>
      <c r="X72" s="843"/>
      <c r="Y72" s="1000"/>
      <c r="Z72" s="846"/>
      <c r="AA72" s="849"/>
      <c r="AB72" s="846"/>
      <c r="AC72" s="846"/>
      <c r="AD72" s="846"/>
    </row>
    <row customHeight="1" ht="36">
      <c r="A73" s="845"/>
      <c r="B73" s="899">
        <v>56</v>
      </c>
      <c r="C73" s="843"/>
      <c r="D73" s="967"/>
      <c r="E73" s="843" t="s">
        <v>2161</v>
      </c>
      <c r="F73" s="843"/>
      <c r="G73" s="843"/>
      <c r="H73" s="891"/>
      <c r="I73" s="1005">
        <f>INDEX(TEMPLATE_NUMBER_POINT_FHD,B73,MATCH(TEMPLATE_SPHERE,TEMPLATE_SPHERE_LIST_FOR_NOTE,0))</f>
        <v>0</v>
      </c>
      <c r="J73" s="1005">
        <f>INDEX(TEMPLATE_DATA_POINT_FHD,B73,MATCH(TEMPLATE_SPHERE,TEMPLATE_SPHERE_LIST_FOR_NOTE,0))</f>
        <v>0</v>
      </c>
      <c r="K73" s="1005">
        <f>INDEX(TEMPLATE_NOTE_POINT_FHD,B73,MATCH(TEMPLATE_SPHERE,TEMPLATE_SPHERE_LIST_FOR_NOTE,0))</f>
        <v>0</v>
      </c>
      <c r="L73" s="844" t="str">
        <f>IF(I73=0,"",I73)</f>
        <v/>
      </c>
      <c r="M73" s="844" t="str">
        <f>IF(J73=0,"",J73)</f>
        <v/>
      </c>
      <c r="N73" s="844" t="str">
        <f>IF(K73=0,"",K73)</f>
        <v/>
      </c>
      <c r="O73" s="957"/>
      <c r="P73" s="957"/>
      <c r="Q73" s="957" t="s">
        <v>153</v>
      </c>
      <c r="R73" s="957"/>
      <c r="S73" s="957"/>
      <c r="T73" s="843"/>
      <c r="U73" s="843"/>
      <c r="V73" s="843" t="s">
        <v>2175</v>
      </c>
      <c r="W73" s="843"/>
      <c r="X73" s="843"/>
      <c r="Y73" s="1000"/>
      <c r="Z73" s="846"/>
      <c r="AA73" s="849"/>
      <c r="AB73" s="846"/>
      <c r="AC73" s="846"/>
      <c r="AD73" s="846"/>
    </row>
    <row customHeight="1" ht="18">
      <c r="A74" s="845"/>
      <c r="B74" s="899">
        <v>57</v>
      </c>
      <c r="C74" s="843"/>
      <c r="D74" s="967"/>
      <c r="E74" s="843" t="s">
        <v>2170</v>
      </c>
      <c r="F74" s="843"/>
      <c r="G74" s="843"/>
      <c r="H74" s="891"/>
      <c r="I74" s="1005">
        <f>INDEX(TEMPLATE_NUMBER_POINT_FHD,B74,MATCH(TEMPLATE_SPHERE,TEMPLATE_SPHERE_LIST_FOR_NOTE,0))</f>
        <v>0</v>
      </c>
      <c r="J74" s="1005">
        <f>INDEX(TEMPLATE_DATA_POINT_FHD,B74,MATCH(TEMPLATE_SPHERE,TEMPLATE_SPHERE_LIST_FOR_NOTE,0))</f>
        <v>0</v>
      </c>
      <c r="K74" s="1005">
        <f>INDEX(TEMPLATE_NOTE_POINT_FHD,B74,MATCH(TEMPLATE_SPHERE,TEMPLATE_SPHERE_LIST_FOR_NOTE,0))</f>
        <v>0</v>
      </c>
      <c r="L74" s="844" t="str">
        <f>IF(I74=0,"",I74)</f>
        <v/>
      </c>
      <c r="M74" s="844" t="str">
        <f>IF(J74=0,"",J74)</f>
        <v/>
      </c>
      <c r="N74" s="844" t="str">
        <f>IF(K74=0,"",K74)</f>
        <v/>
      </c>
      <c r="O74" s="957"/>
      <c r="P74" s="957"/>
      <c r="Q74" s="957" t="s">
        <v>154</v>
      </c>
      <c r="R74" s="957"/>
      <c r="S74" s="957"/>
      <c r="T74" s="843"/>
      <c r="U74" s="843"/>
      <c r="V74" s="843" t="s">
        <v>2176</v>
      </c>
      <c r="W74" s="843"/>
      <c r="X74" s="843"/>
      <c r="Y74" s="1000"/>
      <c r="Z74" s="846"/>
      <c r="AA74" s="849"/>
      <c r="AB74" s="846"/>
      <c r="AC74" s="846"/>
      <c r="AD74" s="846"/>
    </row>
    <row customHeight="1" ht="18">
      <c r="A75" s="845"/>
      <c r="B75" s="899">
        <v>58</v>
      </c>
      <c r="C75" s="843"/>
      <c r="D75" s="967"/>
      <c r="E75" s="843"/>
      <c r="F75" s="843" t="s">
        <v>2155</v>
      </c>
      <c r="G75" s="843"/>
      <c r="H75" s="891"/>
      <c r="I75" s="1005">
        <f>INDEX(TEMPLATE_NUMBER_POINT_FHD,B75,MATCH(TEMPLATE_SPHERE,TEMPLATE_SPHERE_LIST_FOR_NOTE,0))</f>
        <v>0</v>
      </c>
      <c r="J75" s="1005">
        <f>INDEX(TEMPLATE_DATA_POINT_FHD,B75,MATCH(TEMPLATE_SPHERE,TEMPLATE_SPHERE_LIST_FOR_NOTE,0))</f>
        <v>0</v>
      </c>
      <c r="K75" s="1005">
        <f>INDEX(TEMPLATE_NOTE_POINT_FHD,B75,MATCH(TEMPLATE_SPHERE,TEMPLATE_SPHERE_LIST_FOR_NOTE,0))</f>
        <v>0</v>
      </c>
      <c r="L75" s="844" t="str">
        <f>IF(I75=0,"",I75)</f>
        <v/>
      </c>
      <c r="M75" s="844" t="str">
        <f>IF(J75=0,"",J75)</f>
        <v/>
      </c>
      <c r="N75" s="844" t="str">
        <f>IF(K75=0,"",K75)</f>
        <v/>
      </c>
      <c r="O75" s="957"/>
      <c r="P75" s="957"/>
      <c r="Q75" s="957"/>
      <c r="R75" s="957" t="s">
        <v>93</v>
      </c>
      <c r="S75" s="957"/>
      <c r="T75" s="843"/>
      <c r="U75" s="843"/>
      <c r="V75" s="843"/>
      <c r="W75" s="843" t="s">
        <v>2177</v>
      </c>
      <c r="X75" s="843"/>
      <c r="Y75" s="1000"/>
      <c r="Z75" s="846"/>
      <c r="AA75" s="849"/>
      <c r="AB75" s="846"/>
      <c r="AC75" s="846"/>
      <c r="AD75" s="846"/>
    </row>
    <row customHeight="1" ht="36">
      <c r="A76" s="845"/>
      <c r="B76" s="899">
        <v>59</v>
      </c>
      <c r="C76" s="843"/>
      <c r="D76" s="967"/>
      <c r="E76" s="843"/>
      <c r="F76" s="843" t="s">
        <v>2157</v>
      </c>
      <c r="G76" s="843"/>
      <c r="H76" s="891"/>
      <c r="I76" s="1005">
        <f>INDEX(TEMPLATE_NUMBER_POINT_FHD,B76,MATCH(TEMPLATE_SPHERE,TEMPLATE_SPHERE_LIST_FOR_NOTE,0))</f>
        <v>0</v>
      </c>
      <c r="J76" s="1005">
        <f>INDEX(TEMPLATE_DATA_POINT_FHD,B76,MATCH(TEMPLATE_SPHERE,TEMPLATE_SPHERE_LIST_FOR_NOTE,0))</f>
        <v>0</v>
      </c>
      <c r="K76" s="1005">
        <f>INDEX(TEMPLATE_NOTE_POINT_FHD,B76,MATCH(TEMPLATE_SPHERE,TEMPLATE_SPHERE_LIST_FOR_NOTE,0))</f>
        <v>0</v>
      </c>
      <c r="L76" s="844" t="str">
        <f>IF(I76=0,"",I76)</f>
        <v/>
      </c>
      <c r="M76" s="844" t="str">
        <f>IF(J76=0,"",J76)</f>
        <v/>
      </c>
      <c r="N76" s="844" t="str">
        <f>IF(K76=0,"",K76)</f>
        <v/>
      </c>
      <c r="O76" s="957"/>
      <c r="P76" s="957"/>
      <c r="Q76" s="957"/>
      <c r="R76" s="957" t="s">
        <v>112</v>
      </c>
      <c r="S76" s="957"/>
      <c r="T76" s="843"/>
      <c r="U76" s="843"/>
      <c r="V76" s="843"/>
      <c r="W76" s="843" t="s">
        <v>2178</v>
      </c>
      <c r="X76" s="843"/>
      <c r="Y76" s="1000"/>
      <c r="Z76" s="846"/>
      <c r="AA76" s="849"/>
      <c r="AB76" s="846"/>
      <c r="AC76" s="846"/>
      <c r="AD76" s="846"/>
    </row>
    <row customHeight="1" ht="18">
      <c r="A77" s="845"/>
      <c r="B77" s="899">
        <v>60</v>
      </c>
      <c r="C77" s="843"/>
      <c r="D77" s="967"/>
      <c r="E77" s="843"/>
      <c r="F77" s="843" t="s">
        <v>2159</v>
      </c>
      <c r="G77" s="843"/>
      <c r="H77" s="891"/>
      <c r="I77" s="1005">
        <f>INDEX(TEMPLATE_NUMBER_POINT_FHD,B77,MATCH(TEMPLATE_SPHERE,TEMPLATE_SPHERE_LIST_FOR_NOTE,0))</f>
        <v>0</v>
      </c>
      <c r="J77" s="1005">
        <f>INDEX(TEMPLATE_DATA_POINT_FHD,B77,MATCH(TEMPLATE_SPHERE,TEMPLATE_SPHERE_LIST_FOR_NOTE,0))</f>
        <v>0</v>
      </c>
      <c r="K77" s="1005">
        <f>INDEX(TEMPLATE_NOTE_POINT_FHD,B77,MATCH(TEMPLATE_SPHERE,TEMPLATE_SPHERE_LIST_FOR_NOTE,0))</f>
        <v>0</v>
      </c>
      <c r="L77" s="844" t="str">
        <f>IF(I77=0,"",I77)</f>
        <v/>
      </c>
      <c r="M77" s="844" t="str">
        <f>IF(J77=0,"",J77)</f>
        <v/>
      </c>
      <c r="N77" s="844" t="str">
        <f>IF(K77=0,"",K77)</f>
        <v/>
      </c>
      <c r="O77" s="957"/>
      <c r="P77" s="957"/>
      <c r="Q77" s="957"/>
      <c r="R77" s="957" t="s">
        <v>152</v>
      </c>
      <c r="S77" s="957"/>
      <c r="T77" s="843"/>
      <c r="U77" s="843"/>
      <c r="V77" s="843"/>
      <c r="W77" s="843" t="s">
        <v>2179</v>
      </c>
      <c r="X77" s="843"/>
      <c r="Y77" s="1000"/>
      <c r="Z77" s="846"/>
      <c r="AA77" s="849"/>
      <c r="AB77" s="846"/>
      <c r="AC77" s="846"/>
      <c r="AD77" s="846"/>
    </row>
    <row customHeight="1" ht="72">
      <c r="A78" s="845"/>
      <c r="B78" s="899">
        <v>61</v>
      </c>
      <c r="C78" s="843" t="s">
        <v>2155</v>
      </c>
      <c r="D78" s="967"/>
      <c r="E78" s="843"/>
      <c r="F78" s="843"/>
      <c r="G78" s="843"/>
      <c r="H78" s="891"/>
      <c r="I78" s="1005" t="str">
        <f>INDEX(TEMPLATE_NUMBER_POINT_FHD,B78,MATCH(TEMPLATE_SPHERE,TEMPLATE_SPHERE_LIST_FOR_NOTE,0))</f>
        <v>7</v>
      </c>
      <c r="J78" s="1005" t="str">
        <f>INDEX(TEMPLATE_DATA_POINT_FHD,B78,MATCH(TEMPLATE_SPHERE,TEMPLATE_SPHERE_LIST_FOR_NOTE,0))</f>
        <v>Установленная тепловая мощность объектов основных фондов, используемых для теплоснабжения, в том числе по каждому источнику тепловой энергии</v>
      </c>
      <c r="K78" s="1005" t="str">
        <f>INDEX(TEMPLATE_NOTE_POINT_FHD,B78,MATCH(TEMPLATE_SPHERE,TEMPLATE_SPHERE_LIST_FOR_NOTE,0))</f>
        <v>Указывается суммарная установленная тепловая мощность объектов основных фондов, используемых для осуществления теплоснабжения.
Регулируемыми организациями указывается информация по объектам, используемым для осуществления регулируемых видов деятельности.</v>
      </c>
      <c r="L78" s="844" t="str">
        <f>IF(I78=0,"",I78)</f>
        <v>7</v>
      </c>
      <c r="M78" s="844" t="str">
        <f>IF(J78=0,"",J78)</f>
        <v>Установленная тепловая мощность объектов основных фондов, используемых для теплоснабжения, в том числе по каждому источнику тепловой энергии</v>
      </c>
      <c r="N78" s="844" t="str">
        <f>IF(K78=0,"",K78)</f>
        <v>Указывается суммарная установленная тепловая мощность объектов основных фондов, используемых для осуществления теплоснабжения.
Регулируемыми организациями указывается информация по объектам, используемым для осуществления регулируемых видов деятельности.</v>
      </c>
      <c r="O78" s="957" t="s">
        <v>93</v>
      </c>
      <c r="P78" s="957"/>
      <c r="Q78" s="957"/>
      <c r="R78" s="957"/>
      <c r="S78" s="957"/>
      <c r="T78" s="843" t="s">
        <v>637</v>
      </c>
      <c r="U78" s="843"/>
      <c r="V78" s="843"/>
      <c r="W78" s="843"/>
      <c r="X78" s="843"/>
      <c r="Y78" s="1000"/>
      <c r="Z78" s="846" t="s">
        <v>2180</v>
      </c>
      <c r="AA78" s="849"/>
      <c r="AB78" s="846"/>
      <c r="AC78" s="846"/>
      <c r="AD78" s="846"/>
    </row>
    <row customHeight="1" ht="36">
      <c r="A79" s="845"/>
      <c r="B79" s="899">
        <v>62</v>
      </c>
      <c r="C79" s="843" t="s">
        <v>2157</v>
      </c>
      <c r="D79" s="967"/>
      <c r="E79" s="843"/>
      <c r="F79" s="843"/>
      <c r="G79" s="843"/>
      <c r="H79" s="891"/>
      <c r="I79" s="1005" t="str">
        <f>INDEX(TEMPLATE_NUMBER_POINT_FHD,B79,MATCH(TEMPLATE_SPHERE,TEMPLATE_SPHERE_LIST_FOR_NOTE,0))</f>
        <v>8</v>
      </c>
      <c r="J79" s="1005" t="str">
        <f>INDEX(TEMPLATE_DATA_POINT_FHD,B79,MATCH(TEMPLATE_SPHERE,TEMPLATE_SPHERE_LIST_FOR_NOTE,0))</f>
        <v>Тепловая нагрузка по договорам, заключенным в рамках осуществления регулируемых видов деятельности</v>
      </c>
      <c r="K79" s="1005" t="str">
        <f>INDEX(TEMPLATE_NOTE_POINT_FHD,B79,MATCH(TEMPLATE_SPHERE,TEMPLATE_SPHERE_LIST_FOR_NOTE,0))</f>
        <v>Регулируемыми организациями указывается информация по договорам, заключенным в рамках осуществления регулируемых видов деятельности</v>
      </c>
      <c r="L79" s="844" t="str">
        <f>IF(I79=0,"",I79)</f>
        <v>8</v>
      </c>
      <c r="M79" s="844" t="str">
        <f>IF(J79=0,"",J79)</f>
        <v>Тепловая нагрузка по договорам, заключенным в рамках осуществления регулируемых видов деятельности</v>
      </c>
      <c r="N79" s="844" t="str">
        <f>IF(K79=0,"",K79)</f>
        <v>Регулируемыми организациями указывается информация по договорам, заключенным в рамках осуществления регулируемых видов деятельности</v>
      </c>
      <c r="O79" s="957" t="s">
        <v>112</v>
      </c>
      <c r="P79" s="957"/>
      <c r="Q79" s="957"/>
      <c r="R79" s="957"/>
      <c r="S79" s="957"/>
      <c r="T79" s="843" t="s">
        <v>2181</v>
      </c>
      <c r="U79" s="843"/>
      <c r="V79" s="843"/>
      <c r="W79" s="843"/>
      <c r="X79" s="843"/>
      <c r="Y79" s="1000"/>
      <c r="Z79" s="846" t="s">
        <v>2182</v>
      </c>
      <c r="AA79" s="849"/>
      <c r="AB79" s="846"/>
      <c r="AC79" s="846"/>
      <c r="AD79" s="846"/>
    </row>
    <row customHeight="1" ht="45">
      <c r="A80" s="845"/>
      <c r="B80" s="899">
        <v>63</v>
      </c>
      <c r="C80" s="843" t="s">
        <v>2159</v>
      </c>
      <c r="D80" s="967"/>
      <c r="E80" s="843"/>
      <c r="F80" s="843"/>
      <c r="G80" s="843"/>
      <c r="H80" s="891"/>
      <c r="I80" s="1005" t="str">
        <f>INDEX(TEMPLATE_NUMBER_POINT_FHD,B80,MATCH(TEMPLATE_SPHERE,TEMPLATE_SPHERE_LIST_FOR_NOTE,0))</f>
        <v>9</v>
      </c>
      <c r="J80" s="1005" t="str">
        <f>INDEX(TEMPLATE_DATA_POINT_FHD,B80,MATCH(TEMPLATE_SPHERE,TEMPLATE_SPHERE_LIST_FOR_NOTE,0))</f>
        <v>Объем вырабатываемой регулируемой организацией тепловой энергии в рамках осуществления регулируемых видов деятельности</v>
      </c>
      <c r="K80" s="1005" t="str">
        <f>INDEX(TEMPLATE_NOTE_POINT_FHD,B80,MATCH(TEMPLATE_SPHERE,TEMPLATE_SPHERE_LIST_FOR_NOTE,0))</f>
        <v>Регулируемыми организациями указывается информация тепловой энергии, выработанной в рамках осуществления регулируемых видов деятельности.</v>
      </c>
      <c r="L80" s="844" t="str">
        <f>IF(I80=0,"",I80)</f>
        <v>9</v>
      </c>
      <c r="M80" s="844" t="str">
        <f>IF(J80=0,"",J80)</f>
        <v>Объем вырабатываемой регулируемой организацией тепловой энергии в рамках осуществления регулируемых видов деятельности</v>
      </c>
      <c r="N80" s="844" t="str">
        <f>IF(K80=0,"",K80)</f>
        <v>Регулируемыми организациями указывается информация тепловой энергии, выработанной в рамках осуществления регулируемых видов деятельности.</v>
      </c>
      <c r="O80" s="957" t="s">
        <v>152</v>
      </c>
      <c r="P80" s="957"/>
      <c r="Q80" s="957"/>
      <c r="R80" s="957"/>
      <c r="S80" s="957"/>
      <c r="T80" s="843" t="s">
        <v>2183</v>
      </c>
      <c r="U80" s="843"/>
      <c r="V80" s="843"/>
      <c r="W80" s="843"/>
      <c r="X80" s="843"/>
      <c r="Y80" s="1000"/>
      <c r="Z80" s="846" t="s">
        <v>2184</v>
      </c>
      <c r="AA80" s="849"/>
      <c r="AB80" s="846"/>
      <c r="AC80" s="846"/>
      <c r="AD80" s="846"/>
    </row>
    <row customHeight="1" ht="36">
      <c r="A81" s="845"/>
      <c r="B81" s="899">
        <v>64</v>
      </c>
      <c r="C81" s="843" t="s">
        <v>2161</v>
      </c>
      <c r="D81" s="967"/>
      <c r="E81" s="843"/>
      <c r="F81" s="843"/>
      <c r="G81" s="843"/>
      <c r="H81" s="891"/>
      <c r="I81" s="1005" t="str">
        <f>INDEX(TEMPLATE_NUMBER_POINT_FHD,B81,MATCH(TEMPLATE_SPHERE,TEMPLATE_SPHERE_LIST_FOR_NOTE,0))</f>
        <v>9.1</v>
      </c>
      <c r="J81" s="1005" t="str">
        <f>INDEX(TEMPLATE_DATA_POINT_FHD,B81,MATCH(TEMPLATE_SPHERE,TEMPLATE_SPHERE_LIST_FOR_NOTE,0))</f>
        <v>Объем приобретаемой регулируемой организацией тепловой энергии в рамках осуществления регулируемых видов деятельности</v>
      </c>
      <c r="K81" s="1005" t="str">
        <f>INDEX(TEMPLATE_NOTE_POINT_FHD,B81,MATCH(TEMPLATE_SPHERE,TEMPLATE_SPHERE_LIST_FOR_NOTE,0))</f>
        <v>Информация указывается только едиными теплоснабжающими организациями.</v>
      </c>
      <c r="L81" s="844" t="str">
        <f>IF(I81=0,"",I81)</f>
        <v>9.1</v>
      </c>
      <c r="M81" s="844" t="str">
        <f>IF(J81=0,"",J81)</f>
        <v>Объем приобретаемой регулируемой организацией тепловой энергии в рамках осуществления регулируемых видов деятельности</v>
      </c>
      <c r="N81" s="844" t="str">
        <f>IF(K81=0,"",K81)</f>
        <v>Информация указывается только едиными теплоснабжающими организациями.</v>
      </c>
      <c r="O81" s="957" t="s">
        <v>2067</v>
      </c>
      <c r="P81" s="957"/>
      <c r="Q81" s="957"/>
      <c r="R81" s="957"/>
      <c r="S81" s="957"/>
      <c r="T81" s="843" t="s">
        <v>2185</v>
      </c>
      <c r="U81" s="843"/>
      <c r="V81" s="843"/>
      <c r="W81" s="843"/>
      <c r="X81" s="843"/>
      <c r="Y81" s="1000"/>
      <c r="Z81" s="846" t="s">
        <v>2186</v>
      </c>
      <c r="AA81" s="849"/>
      <c r="AB81" s="846"/>
      <c r="AC81" s="846"/>
      <c r="AD81" s="846"/>
    </row>
    <row customHeight="1" ht="90">
      <c r="A82" s="845"/>
      <c r="B82" s="899">
        <v>65</v>
      </c>
      <c r="C82" s="843" t="s">
        <v>2170</v>
      </c>
      <c r="D82" s="967"/>
      <c r="E82" s="843"/>
      <c r="F82" s="843"/>
      <c r="G82" s="843"/>
      <c r="H82" s="891"/>
      <c r="I82" s="1005" t="str">
        <f>INDEX(TEMPLATE_NUMBER_POINT_FHD,B82,MATCH(TEMPLATE_SPHERE,TEMPLATE_SPHERE_LIST_FOR_NOTE,0))</f>
        <v>10</v>
      </c>
      <c r="J82" s="1005" t="str">
        <f>INDEX(TEMPLATE_DATA_POINT_FHD,B82,MATCH(TEMPLATE_SPHERE,TEMPLATE_SPHERE_LIST_FOR_NOTE,0))</f>
        <v>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v>
      </c>
      <c r="K82" s="1005" t="str">
        <f>INDEX(TEMPLATE_NOTE_POINT_FHD,B82,MATCH(TEMPLATE_SPHERE,TEMPLATE_SPHERE_LIST_FOR_NOTE,0))</f>
        <v>Указывается общий объем тепловой энергии, отпускаемой потребителям.
Регулируемыми организациями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v>
      </c>
      <c r="L82" s="844" t="str">
        <f>IF(I82=0,"",I82)</f>
        <v>10</v>
      </c>
      <c r="M82" s="844" t="str">
        <f>IF(J82=0,"",J82)</f>
        <v>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v>
      </c>
      <c r="N82" s="844" t="str">
        <f>IF(K82=0,"",K82)</f>
        <v>Указывается общий объем тепловой энергии, отпускаемой потребителям.
Регулируемыми организациями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v>
      </c>
      <c r="O82" s="957" t="s">
        <v>153</v>
      </c>
      <c r="P82" s="957"/>
      <c r="Q82" s="957"/>
      <c r="R82" s="957"/>
      <c r="S82" s="957"/>
      <c r="T82" s="843" t="s">
        <v>2187</v>
      </c>
      <c r="U82" s="843"/>
      <c r="V82" s="843"/>
      <c r="W82" s="843"/>
      <c r="X82" s="843"/>
      <c r="Y82" s="1000"/>
      <c r="Z82" s="846" t="s">
        <v>2188</v>
      </c>
      <c r="AA82" s="849"/>
      <c r="AB82" s="846"/>
      <c r="AC82" s="846"/>
      <c r="AD82" s="846"/>
    </row>
    <row customHeight="1" ht="9">
      <c r="A83" s="845"/>
      <c r="B83" s="899">
        <v>66</v>
      </c>
      <c r="C83" s="843"/>
      <c r="D83" s="967"/>
      <c r="E83" s="843"/>
      <c r="F83" s="843"/>
      <c r="G83" s="843"/>
      <c r="H83" s="891"/>
      <c r="I83" s="1005" t="str">
        <f>INDEX(TEMPLATE_NUMBER_POINT_FHD,B83,MATCH(TEMPLATE_SPHERE,TEMPLATE_SPHERE_LIST_FOR_NOTE,0))</f>
        <v>10.1</v>
      </c>
      <c r="J83" s="1005" t="str">
        <f>INDEX(TEMPLATE_DATA_POINT_FHD,B83,MATCH(TEMPLATE_SPHERE,TEMPLATE_SPHERE_LIST_FOR_NOTE,0))</f>
        <v>По приборам учёта </v>
      </c>
      <c r="K83" s="1005">
        <f>INDEX(TEMPLATE_NOTE_POINT_FHD,B83,MATCH(TEMPLATE_SPHERE,TEMPLATE_SPHERE_LIST_FOR_NOTE,0))</f>
        <v>0</v>
      </c>
      <c r="L83" s="844" t="str">
        <f>IF(I83=0,"",I83)</f>
        <v>10.1</v>
      </c>
      <c r="M83" s="844" t="str">
        <f>IF(J83=0,"",J83)</f>
        <v>По приборам учёта </v>
      </c>
      <c r="N83" s="844" t="str">
        <f>IF(K83=0,"",K83)</f>
        <v/>
      </c>
      <c r="O83" s="957" t="s">
        <v>2076</v>
      </c>
      <c r="P83" s="957"/>
      <c r="Q83" s="957"/>
      <c r="R83" s="957"/>
      <c r="S83" s="957"/>
      <c r="T83" s="843" t="s">
        <v>2189</v>
      </c>
      <c r="U83" s="843"/>
      <c r="V83" s="843"/>
      <c r="W83" s="843"/>
      <c r="X83" s="843"/>
      <c r="Y83" s="1000"/>
      <c r="Z83" s="846"/>
      <c r="AA83" s="849"/>
      <c r="AB83" s="846"/>
      <c r="AC83" s="846"/>
      <c r="AD83" s="846"/>
    </row>
    <row customHeight="1" ht="54">
      <c r="A84" s="845"/>
      <c r="B84" s="899">
        <v>67</v>
      </c>
      <c r="C84" s="843"/>
      <c r="D84" s="967"/>
      <c r="E84" s="843"/>
      <c r="F84" s="843"/>
      <c r="G84" s="843"/>
      <c r="H84" s="891"/>
      <c r="I84" s="1005" t="str">
        <f>INDEX(TEMPLATE_NUMBER_POINT_FHD,B84,MATCH(TEMPLATE_SPHERE,TEMPLATE_SPHERE_LIST_FOR_NOTE,0))</f>
        <v>10.1.1</v>
      </c>
      <c r="J84" s="1005" t="str">
        <f>INDEX(TEMPLATE_DATA_POINT_FHD,B84,MATCH(TEMPLATE_SPHERE,TEMPLATE_SPHERE_LIST_FOR_NOTE,0))</f>
        <v>Определенный по приборам учета объем тепловой энергии, отпускаемой по договорам потребителям, максимальный объем потребления тепловой энергии объектов которых составляет менее чем 0,2 Гкал</v>
      </c>
      <c r="K84" s="1005">
        <f>INDEX(TEMPLATE_NOTE_POINT_FHD,B84,MATCH(TEMPLATE_SPHERE,TEMPLATE_SPHERE_LIST_FOR_NOTE,0))</f>
        <v>0</v>
      </c>
      <c r="L84" s="844" t="str">
        <f>IF(I84=0,"",I84)</f>
        <v>10.1.1</v>
      </c>
      <c r="M84" s="844" t="str">
        <f>IF(J84=0,"",J84)</f>
        <v>Определенный по приборам учета объем тепловой энергии, отпускаемой по договорам потребителям, максимальный объем потребления тепловой энергии объектов которых составляет менее чем 0,2 Гкал</v>
      </c>
      <c r="N84" s="844" t="str">
        <f>IF(K84=0,"",K84)</f>
        <v/>
      </c>
      <c r="O84" s="957" t="s">
        <v>2190</v>
      </c>
      <c r="P84" s="957"/>
      <c r="Q84" s="957"/>
      <c r="R84" s="957"/>
      <c r="S84" s="957"/>
      <c r="T84" s="843" t="s">
        <v>2191</v>
      </c>
      <c r="U84" s="843"/>
      <c r="V84" s="843"/>
      <c r="W84" s="843"/>
      <c r="X84" s="843"/>
      <c r="Y84" s="1000"/>
      <c r="Z84" s="846"/>
      <c r="AA84" s="849"/>
      <c r="AB84" s="846"/>
      <c r="AC84" s="846"/>
      <c r="AD84" s="846"/>
    </row>
    <row customHeight="1" ht="9">
      <c r="A85" s="845"/>
      <c r="B85" s="899">
        <v>68</v>
      </c>
      <c r="C85" s="843"/>
      <c r="D85" s="967"/>
      <c r="E85" s="843"/>
      <c r="F85" s="843"/>
      <c r="G85" s="843"/>
      <c r="H85" s="891"/>
      <c r="I85" s="1005" t="str">
        <f>INDEX(TEMPLATE_NUMBER_POINT_FHD,B85,MATCH(TEMPLATE_SPHERE,TEMPLATE_SPHERE_LIST_FOR_NOTE,0))</f>
        <v>10.2</v>
      </c>
      <c r="J85" s="1005" t="str">
        <f>INDEX(TEMPLATE_DATA_POINT_FHD,B85,MATCH(TEMPLATE_SPHERE,TEMPLATE_SPHERE_LIST_FOR_NOTE,0))</f>
        <v>Расчётным путём</v>
      </c>
      <c r="K85" s="1005">
        <f>INDEX(TEMPLATE_NOTE_POINT_FHD,B85,MATCH(TEMPLATE_SPHERE,TEMPLATE_SPHERE_LIST_FOR_NOTE,0))</f>
        <v>0</v>
      </c>
      <c r="L85" s="844" t="str">
        <f>IF(I85=0,"",I85)</f>
        <v>10.2</v>
      </c>
      <c r="M85" s="844" t="str">
        <f>IF(J85=0,"",J85)</f>
        <v>Расчётным путём</v>
      </c>
      <c r="N85" s="844" t="str">
        <f>IF(K85=0,"",K85)</f>
        <v/>
      </c>
      <c r="O85" s="957" t="s">
        <v>2080</v>
      </c>
      <c r="P85" s="957"/>
      <c r="Q85" s="957"/>
      <c r="R85" s="957"/>
      <c r="S85" s="957"/>
      <c r="T85" s="843" t="s">
        <v>2192</v>
      </c>
      <c r="U85" s="843"/>
      <c r="V85" s="843"/>
      <c r="W85" s="843"/>
      <c r="X85" s="843"/>
      <c r="Y85" s="1000"/>
      <c r="Z85" s="846"/>
      <c r="AA85" s="849"/>
      <c r="AB85" s="846"/>
      <c r="AC85" s="846"/>
      <c r="AD85" s="846"/>
    </row>
    <row customHeight="1" ht="27">
      <c r="A86" s="845"/>
      <c r="B86" s="899">
        <v>69</v>
      </c>
      <c r="C86" s="843"/>
      <c r="D86" s="967"/>
      <c r="E86" s="843"/>
      <c r="F86" s="843"/>
      <c r="G86" s="843"/>
      <c r="H86" s="891"/>
      <c r="I86" s="1005" t="str">
        <f>INDEX(TEMPLATE_NUMBER_POINT_FHD,B86,MATCH(TEMPLATE_SPHERE,TEMPLATE_SPHERE_LIST_FOR_NOTE,0))</f>
        <v>10.3</v>
      </c>
      <c r="J86" s="1005" t="str">
        <f>INDEX(TEMPLATE_DATA_POINT_FHD,B86,MATCH(TEMPLATE_SPHERE,TEMPLATE_SPHERE_LIST_FOR_NOTE,0))</f>
        <v>По нормативам потребления коммунальных услуг и нормативам потребления коммунальных ресурсов</v>
      </c>
      <c r="K86" s="1005">
        <f>INDEX(TEMPLATE_NOTE_POINT_FHD,B86,MATCH(TEMPLATE_SPHERE,TEMPLATE_SPHERE_LIST_FOR_NOTE,0))</f>
        <v>0</v>
      </c>
      <c r="L86" s="844" t="str">
        <f>IF(I86=0,"",I86)</f>
        <v>10.3</v>
      </c>
      <c r="M86" s="844" t="str">
        <f>IF(J86=0,"",J86)</f>
        <v>По нормативам потребления коммунальных услуг и нормативам потребления коммунальных ресурсов</v>
      </c>
      <c r="N86" s="844" t="str">
        <f>IF(K86=0,"",K86)</f>
        <v/>
      </c>
      <c r="O86" s="957" t="s">
        <v>2193</v>
      </c>
      <c r="P86" s="957"/>
      <c r="Q86" s="957"/>
      <c r="R86" s="957"/>
      <c r="S86" s="957"/>
      <c r="T86" s="843" t="s">
        <v>2194</v>
      </c>
      <c r="U86" s="843"/>
      <c r="V86" s="843"/>
      <c r="W86" s="843"/>
      <c r="X86" s="843"/>
      <c r="Y86" s="1000"/>
      <c r="Z86" s="846"/>
      <c r="AA86" s="849"/>
      <c r="AB86" s="846"/>
      <c r="AC86" s="846"/>
      <c r="AD86" s="846"/>
    </row>
    <row customHeight="1" ht="36">
      <c r="A87" s="845"/>
      <c r="B87" s="899">
        <v>70</v>
      </c>
      <c r="C87" s="843" t="s">
        <v>2195</v>
      </c>
      <c r="D87" s="967"/>
      <c r="E87" s="843"/>
      <c r="F87" s="843"/>
      <c r="G87" s="843"/>
      <c r="H87" s="891"/>
      <c r="I87" s="1005" t="str">
        <f>INDEX(TEMPLATE_NUMBER_POINT_FHD,B87,MATCH(TEMPLATE_SPHERE,TEMPLATE_SPHERE_LIST_FOR_NOTE,0))</f>
        <v>11</v>
      </c>
      <c r="J87" s="1005" t="str">
        <f>INDEX(TEMPLATE_DATA_POINT_FHD,B87,MATCH(TEMPLATE_SPHERE,TEMPLATE_SPHERE_LIST_FOR_NOTE,0))</f>
        <v>Нормативы технологических потерь при передаче тепловой энергии, теплоносителя по тепловым сетям, утвержденные уполномоченным органом</v>
      </c>
      <c r="K87" s="1005">
        <f>INDEX(TEMPLATE_NOTE_POINT_FHD,B87,MATCH(TEMPLATE_SPHERE,TEMPLATE_SPHERE_LIST_FOR_NOTE,0))</f>
        <v>0</v>
      </c>
      <c r="L87" s="844" t="str">
        <f>IF(I87=0,"",I87)</f>
        <v>11</v>
      </c>
      <c r="M87" s="844" t="str">
        <f>IF(J87=0,"",J87)</f>
        <v>Нормативы технологических потерь при передаче тепловой энергии, теплоносителя по тепловым сетям, утвержденные уполномоченным органом</v>
      </c>
      <c r="N87" s="844" t="str">
        <f>IF(K87=0,"",K87)</f>
        <v/>
      </c>
      <c r="O87" s="957" t="s">
        <v>154</v>
      </c>
      <c r="P87" s="957"/>
      <c r="Q87" s="957"/>
      <c r="R87" s="957"/>
      <c r="S87" s="957"/>
      <c r="T87" s="843" t="s">
        <v>2196</v>
      </c>
      <c r="U87" s="843"/>
      <c r="V87" s="843"/>
      <c r="W87" s="843"/>
      <c r="X87" s="843"/>
      <c r="Y87" s="1000"/>
      <c r="Z87" s="846"/>
      <c r="AA87" s="849"/>
      <c r="AB87" s="846"/>
      <c r="AC87" s="846"/>
      <c r="AD87" s="846"/>
    </row>
    <row customHeight="1" ht="18">
      <c r="A88" s="845"/>
      <c r="B88" s="899">
        <v>71</v>
      </c>
      <c r="C88" s="843" t="s">
        <v>2197</v>
      </c>
      <c r="D88" s="967"/>
      <c r="E88" s="843"/>
      <c r="F88" s="843"/>
      <c r="G88" s="843"/>
      <c r="H88" s="891"/>
      <c r="I88" s="1005" t="str">
        <f>INDEX(TEMPLATE_NUMBER_POINT_FHD,B88,MATCH(TEMPLATE_SPHERE,TEMPLATE_SPHERE_LIST_FOR_NOTE,0))</f>
        <v>12</v>
      </c>
      <c r="J88" s="1005" t="str">
        <f>INDEX(TEMPLATE_DATA_POINT_FHD,B88,MATCH(TEMPLATE_SPHERE,TEMPLATE_SPHERE_LIST_FOR_NOTE,0))</f>
        <v>Фактический объем потерь при передаче тепловой энергии</v>
      </c>
      <c r="K88" s="1005">
        <f>INDEX(TEMPLATE_NOTE_POINT_FHD,B88,MATCH(TEMPLATE_SPHERE,TEMPLATE_SPHERE_LIST_FOR_NOTE,0))</f>
        <v>0</v>
      </c>
      <c r="L88" s="844" t="str">
        <f>IF(I88=0,"",I88)</f>
        <v>12</v>
      </c>
      <c r="M88" s="844" t="str">
        <f>IF(J88=0,"",J88)</f>
        <v>Фактический объем потерь при передаче тепловой энергии</v>
      </c>
      <c r="N88" s="844" t="str">
        <f>IF(K88=0,"",K88)</f>
        <v/>
      </c>
      <c r="O88" s="957" t="s">
        <v>155</v>
      </c>
      <c r="P88" s="957"/>
      <c r="Q88" s="957"/>
      <c r="R88" s="957"/>
      <c r="S88" s="957"/>
      <c r="T88" s="843" t="s">
        <v>669</v>
      </c>
      <c r="U88" s="843"/>
      <c r="V88" s="843"/>
      <c r="W88" s="843"/>
      <c r="X88" s="843"/>
      <c r="Y88" s="1000"/>
      <c r="Z88" s="846"/>
      <c r="AA88" s="849"/>
      <c r="AB88" s="846"/>
      <c r="AC88" s="846"/>
      <c r="AD88" s="846"/>
    </row>
    <row customHeight="1" ht="18">
      <c r="A89" s="845"/>
      <c r="B89" s="899">
        <v>72</v>
      </c>
      <c r="C89" s="843" t="s">
        <v>2198</v>
      </c>
      <c r="D89" s="967" t="s">
        <v>2195</v>
      </c>
      <c r="E89" s="843" t="s">
        <v>2195</v>
      </c>
      <c r="F89" s="843" t="s">
        <v>2161</v>
      </c>
      <c r="G89" s="843"/>
      <c r="H89" s="891"/>
      <c r="I89" s="1005" t="str">
        <f>INDEX(TEMPLATE_NUMBER_POINT_FHD,B89,MATCH(TEMPLATE_SPHERE,TEMPLATE_SPHERE_LIST_FOR_NOTE,0))</f>
        <v>13</v>
      </c>
      <c r="J89" s="1005" t="str">
        <f>INDEX(TEMPLATE_DATA_POINT_FHD,B89,MATCH(TEMPLATE_SPHERE,TEMPLATE_SPHERE_LIST_FOR_NOTE,0))</f>
        <v>Среднесписочная численность основного производственного персонала</v>
      </c>
      <c r="K89" s="1005">
        <f>INDEX(TEMPLATE_NOTE_POINT_FHD,B89,MATCH(TEMPLATE_SPHERE,TEMPLATE_SPHERE_LIST_FOR_NOTE,0))</f>
        <v>0</v>
      </c>
      <c r="L89" s="844" t="str">
        <f>IF(I89=0,"",I89)</f>
        <v>13</v>
      </c>
      <c r="M89" s="844" t="str">
        <f>IF(J89=0,"",J89)</f>
        <v>Среднесписочная численность основного производственного персонала</v>
      </c>
      <c r="N89" s="844" t="str">
        <f>IF(K89=0,"",K89)</f>
        <v/>
      </c>
      <c r="O89" s="957" t="s">
        <v>156</v>
      </c>
      <c r="P89" s="957" t="s">
        <v>155</v>
      </c>
      <c r="Q89" s="957" t="s">
        <v>155</v>
      </c>
      <c r="R89" s="957" t="s">
        <v>153</v>
      </c>
      <c r="S89" s="957"/>
      <c r="T89" s="843" t="s">
        <v>677</v>
      </c>
      <c r="U89" s="843" t="s">
        <v>677</v>
      </c>
      <c r="V89" s="843" t="s">
        <v>677</v>
      </c>
      <c r="W89" s="843" t="s">
        <v>677</v>
      </c>
      <c r="X89" s="843"/>
      <c r="Y89" s="1000"/>
      <c r="Z89" s="846"/>
      <c r="AA89" s="849"/>
      <c r="AB89" s="846"/>
      <c r="AC89" s="846"/>
      <c r="AD89" s="846"/>
    </row>
    <row customHeight="1" ht="27">
      <c r="A90" s="845"/>
      <c r="B90" s="899">
        <v>73</v>
      </c>
      <c r="C90" s="843" t="s">
        <v>2199</v>
      </c>
      <c r="D90" s="967"/>
      <c r="E90" s="843"/>
      <c r="F90" s="843"/>
      <c r="G90" s="843"/>
      <c r="H90" s="891"/>
      <c r="I90" s="1005" t="str">
        <f>INDEX(TEMPLATE_NUMBER_POINT_FHD,B90,MATCH(TEMPLATE_SPHERE,TEMPLATE_SPHERE_LIST_FOR_NOTE,0))</f>
        <v>14</v>
      </c>
      <c r="J90" s="1005" t="str">
        <f>INDEX(TEMPLATE_DATA_POINT_FHD,B90,MATCH(TEMPLATE_SPHERE,TEMPLATE_SPHERE_LIST_FOR_NOTE,0))</f>
        <v>Среднесписочная численность административно-управленческого персонала</v>
      </c>
      <c r="K90" s="1005">
        <f>INDEX(TEMPLATE_NOTE_POINT_FHD,B90,MATCH(TEMPLATE_SPHERE,TEMPLATE_SPHERE_LIST_FOR_NOTE,0))</f>
        <v>0</v>
      </c>
      <c r="L90" s="844" t="str">
        <f>IF(I90=0,"",I90)</f>
        <v>14</v>
      </c>
      <c r="M90" s="844" t="str">
        <f>IF(J90=0,"",J90)</f>
        <v>Среднесписочная численность административно-управленческого персонала</v>
      </c>
      <c r="N90" s="844" t="str">
        <f>IF(K90=0,"",K90)</f>
        <v/>
      </c>
      <c r="O90" s="957" t="s">
        <v>157</v>
      </c>
      <c r="P90" s="957"/>
      <c r="Q90" s="957"/>
      <c r="R90" s="957"/>
      <c r="S90" s="957"/>
      <c r="T90" s="843" t="s">
        <v>679</v>
      </c>
      <c r="U90" s="843"/>
      <c r="V90" s="843"/>
      <c r="W90" s="843"/>
      <c r="X90" s="843"/>
      <c r="Y90" s="1000"/>
      <c r="Z90" s="846"/>
      <c r="AA90" s="849"/>
      <c r="AB90" s="846"/>
      <c r="AC90" s="846"/>
      <c r="AD90" s="846"/>
    </row>
    <row customHeight="1" ht="18">
      <c r="A91" s="845"/>
      <c r="B91" s="899">
        <v>74</v>
      </c>
      <c r="C91" s="843"/>
      <c r="D91" s="967" t="s">
        <v>2197</v>
      </c>
      <c r="E91" s="843" t="s">
        <v>2197</v>
      </c>
      <c r="F91" s="843"/>
      <c r="G91" s="843"/>
      <c r="H91" s="891"/>
      <c r="I91" s="1005">
        <f>INDEX(TEMPLATE_NUMBER_POINT_FHD,B91,MATCH(TEMPLATE_SPHERE,TEMPLATE_SPHERE_LIST_FOR_NOTE,0))</f>
        <v>0</v>
      </c>
      <c r="J91" s="1005">
        <f>INDEX(TEMPLATE_DATA_POINT_FHD,B91,MATCH(TEMPLATE_SPHERE,TEMPLATE_SPHERE_LIST_FOR_NOTE,0))</f>
        <v>0</v>
      </c>
      <c r="K91" s="1005">
        <f>INDEX(TEMPLATE_NOTE_POINT_FHD,B91,MATCH(TEMPLATE_SPHERE,TEMPLATE_SPHERE_LIST_FOR_NOTE,0))</f>
        <v>0</v>
      </c>
      <c r="L91" s="844" t="str">
        <f>IF(I91=0,"",I91)</f>
        <v/>
      </c>
      <c r="M91" s="844" t="str">
        <f>IF(J91=0,"",J91)</f>
        <v/>
      </c>
      <c r="N91" s="844" t="str">
        <f>IF(K91=0,"",K91)</f>
        <v/>
      </c>
      <c r="O91" s="957"/>
      <c r="P91" s="957" t="s">
        <v>156</v>
      </c>
      <c r="Q91" s="957" t="s">
        <v>156</v>
      </c>
      <c r="R91" s="957"/>
      <c r="S91" s="957"/>
      <c r="T91" s="843"/>
      <c r="U91" s="843" t="s">
        <v>2200</v>
      </c>
      <c r="V91" s="843" t="s">
        <v>2200</v>
      </c>
      <c r="W91" s="843"/>
      <c r="X91" s="843"/>
      <c r="Y91" s="1000"/>
      <c r="Z91" s="846"/>
      <c r="AA91" s="849"/>
      <c r="AB91" s="846"/>
      <c r="AC91" s="846"/>
      <c r="AD91" s="846"/>
    </row>
    <row customHeight="1" ht="27">
      <c r="A92" s="845"/>
      <c r="B92" s="899">
        <v>75</v>
      </c>
      <c r="C92" s="843"/>
      <c r="D92" s="967" t="s">
        <v>2198</v>
      </c>
      <c r="E92" s="843"/>
      <c r="F92" s="843"/>
      <c r="G92" s="843"/>
      <c r="H92" s="891"/>
      <c r="I92" s="1005">
        <f>INDEX(TEMPLATE_NUMBER_POINT_FHD,B92,MATCH(TEMPLATE_SPHERE,TEMPLATE_SPHERE_LIST_FOR_NOTE,0))</f>
        <v>0</v>
      </c>
      <c r="J92" s="1005">
        <f>INDEX(TEMPLATE_DATA_POINT_FHD,B92,MATCH(TEMPLATE_SPHERE,TEMPLATE_SPHERE_LIST_FOR_NOTE,0))</f>
        <v>0</v>
      </c>
      <c r="K92" s="1005">
        <f>INDEX(TEMPLATE_NOTE_POINT_FHD,B92,MATCH(TEMPLATE_SPHERE,TEMPLATE_SPHERE_LIST_FOR_NOTE,0))</f>
        <v>0</v>
      </c>
      <c r="L92" s="844" t="str">
        <f>IF(I92=0,"",I92)</f>
        <v/>
      </c>
      <c r="M92" s="844" t="str">
        <f>IF(J92=0,"",J92)</f>
        <v/>
      </c>
      <c r="N92" s="844" t="str">
        <f>IF(K92=0,"",K92)</f>
        <v/>
      </c>
      <c r="O92" s="957"/>
      <c r="P92" s="957" t="s">
        <v>157</v>
      </c>
      <c r="Q92" s="957"/>
      <c r="R92" s="957"/>
      <c r="S92" s="957"/>
      <c r="T92" s="843"/>
      <c r="U92" s="843" t="s">
        <v>2201</v>
      </c>
      <c r="V92" s="843"/>
      <c r="W92" s="843"/>
      <c r="X92" s="843"/>
      <c r="Y92" s="1000"/>
      <c r="Z92" s="846"/>
      <c r="AA92" s="849" t="s">
        <v>2202</v>
      </c>
      <c r="AB92" s="846"/>
      <c r="AC92" s="846"/>
      <c r="AD92" s="846"/>
    </row>
    <row customHeight="1" ht="27">
      <c r="A93" s="845"/>
      <c r="B93" s="899">
        <v>76</v>
      </c>
      <c r="C93" s="843"/>
      <c r="D93" s="967"/>
      <c r="E93" s="843"/>
      <c r="F93" s="843"/>
      <c r="G93" s="843"/>
      <c r="H93" s="891"/>
      <c r="I93" s="1005">
        <f>INDEX(TEMPLATE_NUMBER_POINT_FHD,B93,MATCH(TEMPLATE_SPHERE,TEMPLATE_SPHERE_LIST_FOR_NOTE,0))</f>
        <v>0</v>
      </c>
      <c r="J93" s="1005">
        <f>INDEX(TEMPLATE_DATA_POINT_FHD,B93,MATCH(TEMPLATE_SPHERE,TEMPLATE_SPHERE_LIST_FOR_NOTE,0))</f>
        <v>0</v>
      </c>
      <c r="K93" s="1005">
        <f>INDEX(TEMPLATE_NOTE_POINT_FHD,B93,MATCH(TEMPLATE_SPHERE,TEMPLATE_SPHERE_LIST_FOR_NOTE,0))</f>
        <v>0</v>
      </c>
      <c r="L93" s="844" t="str">
        <f>IF(I93=0,"",I93)</f>
        <v/>
      </c>
      <c r="M93" s="844" t="str">
        <f>IF(J93=0,"",J93)</f>
        <v/>
      </c>
      <c r="N93" s="844" t="str">
        <f>IF(K93=0,"",K93)</f>
        <v/>
      </c>
      <c r="O93" s="957"/>
      <c r="P93" s="957" t="s">
        <v>2108</v>
      </c>
      <c r="Q93" s="957"/>
      <c r="R93" s="957"/>
      <c r="S93" s="957"/>
      <c r="T93" s="843"/>
      <c r="U93" s="843" t="s">
        <v>2203</v>
      </c>
      <c r="V93" s="843"/>
      <c r="W93" s="843"/>
      <c r="X93" s="843"/>
      <c r="Y93" s="1000"/>
      <c r="Z93" s="846"/>
      <c r="AA93" s="849" t="s">
        <v>2204</v>
      </c>
      <c r="AB93" s="846"/>
      <c r="AC93" s="846"/>
      <c r="AD93" s="846"/>
    </row>
    <row customHeight="1" ht="45">
      <c r="A94" s="845"/>
      <c r="B94" s="899">
        <v>77</v>
      </c>
      <c r="C94" s="843"/>
      <c r="D94" s="967" t="s">
        <v>2199</v>
      </c>
      <c r="E94" s="843"/>
      <c r="F94" s="843"/>
      <c r="G94" s="843"/>
      <c r="H94" s="891"/>
      <c r="I94" s="1005">
        <f>INDEX(TEMPLATE_NUMBER_POINT_FHD,B94,MATCH(TEMPLATE_SPHERE,TEMPLATE_SPHERE_LIST_FOR_NOTE,0))</f>
        <v>0</v>
      </c>
      <c r="J94" s="1005">
        <f>INDEX(TEMPLATE_DATA_POINT_FHD,B94,MATCH(TEMPLATE_SPHERE,TEMPLATE_SPHERE_LIST_FOR_NOTE,0))</f>
        <v>0</v>
      </c>
      <c r="K94" s="1005">
        <f>INDEX(TEMPLATE_NOTE_POINT_FHD,B94,MATCH(TEMPLATE_SPHERE,TEMPLATE_SPHERE_LIST_FOR_NOTE,0))</f>
        <v>0</v>
      </c>
      <c r="L94" s="844" t="str">
        <f>IF(I94=0,"",I94)</f>
        <v/>
      </c>
      <c r="M94" s="844" t="str">
        <f>IF(J94=0,"",J94)</f>
        <v/>
      </c>
      <c r="N94" s="844" t="str">
        <f>IF(K94=0,"",K94)</f>
        <v/>
      </c>
      <c r="O94" s="957"/>
      <c r="P94" s="957" t="s">
        <v>1463</v>
      </c>
      <c r="Q94" s="957"/>
      <c r="R94" s="957"/>
      <c r="S94" s="957"/>
      <c r="T94" s="843"/>
      <c r="U94" s="843" t="s">
        <v>2205</v>
      </c>
      <c r="V94" s="843"/>
      <c r="W94" s="843"/>
      <c r="X94" s="843"/>
      <c r="Y94" s="1000"/>
      <c r="Z94" s="846"/>
      <c r="AA94" s="849" t="s">
        <v>2206</v>
      </c>
      <c r="AB94" s="846"/>
      <c r="AC94" s="846"/>
      <c r="AD94" s="846"/>
    </row>
    <row customHeight="1" ht="99">
      <c r="A95" s="845"/>
      <c r="B95" s="899">
        <v>78</v>
      </c>
      <c r="C95" s="843" t="s">
        <v>2207</v>
      </c>
      <c r="D95" s="967"/>
      <c r="E95" s="843"/>
      <c r="F95" s="843"/>
      <c r="G95" s="843"/>
      <c r="H95" s="891"/>
      <c r="I95" s="1005" t="str">
        <f>INDEX(TEMPLATE_NUMBER_POINT_FHD,B95,MATCH(TEMPLATE_SPHERE,TEMPLATE_SPHERE_LIST_FOR_NOTE,0))</f>
        <v>15</v>
      </c>
      <c r="J95" s="1005" t="str">
        <f>INDEX(TEMPLATE_DATA_POINT_FHD,B95,MATCH(TEMPLATE_SPHERE,TEMPLATE_SPHERE_LIST_FOR_NOTE,0))</f>
        <v>Норматив удельного расхода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v>
      </c>
      <c r="K95" s="1005">
        <f>INDEX(TEMPLATE_NOTE_POINT_FHD,B95,MATCH(TEMPLATE_SPHERE,TEMPLATE_SPHERE_LIST_FOR_NOTE,0))</f>
        <v>0</v>
      </c>
      <c r="L95" s="844" t="str">
        <f>IF(I95=0,"",I95)</f>
        <v>15</v>
      </c>
      <c r="M95" s="844" t="str">
        <f>IF(J95=0,"",J95)</f>
        <v>Норматив удельного расхода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v>
      </c>
      <c r="N95" s="844" t="str">
        <f>IF(K95=0,"",K95)</f>
        <v/>
      </c>
      <c r="O95" s="957" t="s">
        <v>1463</v>
      </c>
      <c r="P95" s="957"/>
      <c r="Q95" s="957"/>
      <c r="R95" s="957"/>
      <c r="S95" s="957"/>
      <c r="T95" s="843" t="s">
        <v>2208</v>
      </c>
      <c r="U95" s="843"/>
      <c r="V95" s="843"/>
      <c r="W95" s="843"/>
      <c r="X95" s="843"/>
      <c r="Y95" s="1000"/>
      <c r="Z95" s="846"/>
      <c r="AA95" s="849"/>
      <c r="AB95" s="846"/>
      <c r="AC95" s="846"/>
      <c r="AD95" s="846"/>
    </row>
    <row customHeight="1" ht="99">
      <c r="A96" s="845"/>
      <c r="B96" s="899">
        <v>79</v>
      </c>
      <c r="C96" s="843" t="s">
        <v>1151</v>
      </c>
      <c r="D96" s="967"/>
      <c r="E96" s="843"/>
      <c r="F96" s="843"/>
      <c r="G96" s="843"/>
      <c r="H96" s="891"/>
      <c r="I96" s="1005" t="str">
        <f>INDEX(TEMPLATE_NUMBER_POINT_FHD,B96,MATCH(TEMPLATE_SPHERE,TEMPLATE_SPHERE_LIST_FOR_NOTE,0))</f>
        <v>16</v>
      </c>
      <c r="J96" s="1005" t="str">
        <f>INDEX(TEMPLATE_DATA_POINT_FHD,B96,MATCH(TEMPLATE_SPHERE,TEMPLATE_SPHERE_LIST_FOR_NOTE,0))</f>
        <v>Фактический удельный расход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v>
      </c>
      <c r="K96" s="1005" t="str">
        <f>INDEX(TEMPLATE_NOTE_POINT_FHD,B96,MATCH(TEMPLATE_SPHERE,TEMPLATE_SPHERE_LIST_FOR_NOTE,0))</f>
        <v>Регулируемыми организациями указывается информация с распределением по источникам тепловой энергии, используемым для осуществления регулируемых видов деятельности.</v>
      </c>
      <c r="L96" s="844" t="str">
        <f>IF(I96=0,"",I96)</f>
        <v>16</v>
      </c>
      <c r="M96" s="844" t="str">
        <f>IF(J96=0,"",J96)</f>
        <v>Фактический удельный расход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v>
      </c>
      <c r="N96" s="844" t="str">
        <f>IF(K96=0,"",K96)</f>
        <v>Регулируемыми организациями указывается информация с распределением по источникам тепловой энергии, используемым для осуществления регулируемых видов деятельности.</v>
      </c>
      <c r="O96" s="957" t="s">
        <v>1469</v>
      </c>
      <c r="P96" s="957"/>
      <c r="Q96" s="957"/>
      <c r="R96" s="957"/>
      <c r="S96" s="957"/>
      <c r="T96" s="843" t="s">
        <v>2209</v>
      </c>
      <c r="U96" s="843"/>
      <c r="V96" s="843"/>
      <c r="W96" s="843"/>
      <c r="X96" s="843"/>
      <c r="Y96" s="1000"/>
      <c r="Z96" s="846" t="s">
        <v>2210</v>
      </c>
      <c r="AA96" s="849"/>
      <c r="AB96" s="846"/>
      <c r="AC96" s="846"/>
      <c r="AD96" s="846"/>
    </row>
    <row customHeight="1" ht="63">
      <c r="A97" s="845"/>
      <c r="B97" s="899">
        <v>80</v>
      </c>
      <c r="C97" s="843" t="s">
        <v>2211</v>
      </c>
      <c r="D97" s="967"/>
      <c r="E97" s="843"/>
      <c r="F97" s="843"/>
      <c r="G97" s="843"/>
      <c r="H97" s="891"/>
      <c r="I97" s="1005" t="str">
        <f>INDEX(TEMPLATE_NUMBER_POINT_FHD,B97,MATCH(TEMPLATE_SPHERE,TEMPLATE_SPHERE_LIST_FOR_NOTE,0))</f>
        <v>17</v>
      </c>
      <c r="J97" s="1005" t="str">
        <f>INDEX(TEMPLATE_DATA_POINT_FHD,B97,MATCH(TEMPLATE_SPHERE,TEMPLATE_SPHERE_LIST_FOR_NOTE,0))</f>
        <v>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v>
      </c>
      <c r="K97" s="1005" t="str">
        <f>INDEX(TEMPLATE_NOTE_POINT_FHD,B97,MATCH(TEMPLATE_SPHERE,TEMPLATE_SPHERE_LIST_FOR_NOTE,0))</f>
        <v>Регулируемыми организациями указывается информация с по договорам, заключенным в рамках осуществления регулируемой деятельности.</v>
      </c>
      <c r="L97" s="844" t="str">
        <f>IF(I97=0,"",I97)</f>
        <v>17</v>
      </c>
      <c r="M97" s="844" t="str">
        <f>IF(J97=0,"",J97)</f>
        <v>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v>
      </c>
      <c r="N97" s="844" t="str">
        <f>IF(K97=0,"",K97)</f>
        <v>Регулируемыми организациями указывается информация с по договорам, заключенным в рамках осуществления регулируемой деятельности.</v>
      </c>
      <c r="O97" s="957" t="s">
        <v>1481</v>
      </c>
      <c r="P97" s="957"/>
      <c r="Q97" s="957"/>
      <c r="R97" s="957"/>
      <c r="S97" s="957"/>
      <c r="T97" s="843" t="s">
        <v>2212</v>
      </c>
      <c r="U97" s="843"/>
      <c r="V97" s="843"/>
      <c r="W97" s="843"/>
      <c r="X97" s="843"/>
      <c r="Y97" s="1000"/>
      <c r="Z97" s="846" t="s">
        <v>2213</v>
      </c>
      <c r="AA97" s="849"/>
      <c r="AB97" s="846"/>
      <c r="AC97" s="846"/>
      <c r="AD97" s="846"/>
    </row>
    <row customHeight="1" ht="63">
      <c r="A98" s="845"/>
      <c r="B98" s="899">
        <v>81</v>
      </c>
      <c r="C98" s="843" t="s">
        <v>2214</v>
      </c>
      <c r="D98" s="967"/>
      <c r="E98" s="843"/>
      <c r="F98" s="843"/>
      <c r="G98" s="843"/>
      <c r="H98" s="891"/>
      <c r="I98" s="1005" t="str">
        <f>INDEX(TEMPLATE_NUMBER_POINT_FHD,B98,MATCH(TEMPLATE_SPHERE,TEMPLATE_SPHERE_LIST_FOR_NOTE,0))</f>
        <v>18</v>
      </c>
      <c r="J98" s="1005" t="str">
        <f>INDEX(TEMPLATE_DATA_POINT_FHD,B98,MATCH(TEMPLATE_SPHERE,TEMPLATE_SPHERE_LIST_FOR_NOTE,0))</f>
        <v>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v>
      </c>
      <c r="K98" s="1005" t="str">
        <f>INDEX(TEMPLATE_NOTE_POINT_FHD,B98,MATCH(TEMPLATE_SPHERE,TEMPLATE_SPHERE_LIST_FOR_NOTE,0))</f>
        <v>Регулируемыми организациями указывается информация с по договорам, заключенным в рамках осуществления регулируемой деятельности.</v>
      </c>
      <c r="L98" s="844" t="str">
        <f>IF(I98=0,"",I98)</f>
        <v>18</v>
      </c>
      <c r="M98" s="844" t="str">
        <f>IF(J98=0,"",J98)</f>
        <v>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v>
      </c>
      <c r="N98" s="844" t="str">
        <f>IF(K98=0,"",K98)</f>
        <v>Регулируемыми организациями указывается информация с по договорам, заключенным в рамках осуществления регулируемой деятельности.</v>
      </c>
      <c r="O98" s="957" t="s">
        <v>1495</v>
      </c>
      <c r="P98" s="957"/>
      <c r="Q98" s="957"/>
      <c r="R98" s="957"/>
      <c r="S98" s="957"/>
      <c r="T98" s="843" t="s">
        <v>2215</v>
      </c>
      <c r="U98" s="843"/>
      <c r="V98" s="843"/>
      <c r="W98" s="843"/>
      <c r="X98" s="843"/>
      <c r="Y98" s="1000"/>
      <c r="Z98" s="846" t="s">
        <v>2213</v>
      </c>
      <c r="AA98" s="849"/>
      <c r="AB98" s="846"/>
      <c r="AC98" s="846"/>
      <c r="AD98" s="846"/>
    </row>
    <row customHeight="1" ht="90">
      <c r="A99" s="845"/>
      <c r="B99" s="899">
        <v>82</v>
      </c>
      <c r="C99" s="843" t="s">
        <v>2216</v>
      </c>
      <c r="D99" s="967"/>
      <c r="E99" s="843"/>
      <c r="F99" s="843"/>
      <c r="G99" s="843"/>
      <c r="H99" s="891"/>
      <c r="I99" s="1005" t="str">
        <f>INDEX(TEMPLATE_NUMBER_POINT_FHD,B99,MATCH(TEMPLATE_SPHERE,TEMPLATE_SPHERE_LIST_FOR_NOTE,0))</f>
        <v>19</v>
      </c>
      <c r="J99" s="1005" t="str">
        <f>INDEX(TEMPLATE_DATA_POINT_FHD,B99,MATCH(TEMPLATE_SPHERE,TEMPLATE_SPHERE_LIST_FOR_NOTE,0))</f>
        <v>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v>
      </c>
      <c r="K99" s="1005" t="str">
        <f>INDEX(TEMPLATE_NOTE_POINT_FHD,B99,MATCH(TEMPLATE_SPHERE,TEMPLATE_SPHERE_LIST_FOR_NOTE,0))</f>
        <v>Указывается ссылка на документ, предварительно загруженный в хранилище файлов ФГИС ЕИАС.</v>
      </c>
      <c r="L99" s="844" t="str">
        <f>IF(I99=0,"",I99)</f>
        <v>19</v>
      </c>
      <c r="M99" s="844" t="str">
        <f>IF(J99=0,"",J99)</f>
        <v>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v>
      </c>
      <c r="N99" s="844" t="str">
        <f>IF(K99=0,"",K99)</f>
        <v>Указывается ссылка на документ, предварительно загруженный в хранилище файлов ФГИС ЕИАС.</v>
      </c>
      <c r="O99" s="957" t="s">
        <v>1507</v>
      </c>
      <c r="P99" s="957"/>
      <c r="Q99" s="957"/>
      <c r="R99" s="957"/>
      <c r="S99" s="957"/>
      <c r="T99" s="843" t="s">
        <v>2217</v>
      </c>
      <c r="U99" s="843"/>
      <c r="V99" s="843"/>
      <c r="W99" s="843"/>
      <c r="X99" s="843"/>
      <c r="Y99" s="1000"/>
      <c r="Z99" s="846" t="s">
        <v>634</v>
      </c>
      <c r="AA99" s="849"/>
      <c r="AB99" s="846"/>
      <c r="AC99" s="846"/>
      <c r="AD99" s="846"/>
    </row>
    <row customHeight="1" ht="27">
      <c r="A100" s="845"/>
      <c r="B100" s="899">
        <v>83</v>
      </c>
      <c r="C100" s="843"/>
      <c r="D100" s="967"/>
      <c r="E100" s="843"/>
      <c r="F100" s="843"/>
      <c r="G100" s="843"/>
      <c r="H100" s="891"/>
      <c r="I100" s="1005" t="str">
        <f>INDEX(TEMPLATE_NUMBER_POINT_FHD,B100,MATCH(TEMPLATE_SPHERE,TEMPLATE_SPHERE_LIST_FOR_NOTE,0))</f>
        <v>19.1</v>
      </c>
      <c r="J100" s="1005" t="str">
        <f>INDEX(TEMPLATE_DATA_POINT_FHD,B100,MATCH(TEMPLATE_SPHERE,TEMPLATE_SPHERE_LIST_FOR_NOTE,0))</f>
        <v>Информация о показателях физического износа объектов теплоснабжения</v>
      </c>
      <c r="K100" s="1005" t="str">
        <f>INDEX(TEMPLATE_NOTE_POINT_FHD,B100,MATCH(TEMPLATE_SPHERE,TEMPLATE_SPHERE_LIST_FOR_NOTE,0))</f>
        <v>Указывается ссылка на документ, предварительно загруженный в хранилище файлов ФГИС ЕИАС.</v>
      </c>
      <c r="L100" s="844" t="str">
        <f>IF(I100=0,"",I100)</f>
        <v>19.1</v>
      </c>
      <c r="M100" s="844" t="str">
        <f>IF(J100=0,"",J100)</f>
        <v>Информация о показателях физического износа объектов теплоснабжения</v>
      </c>
      <c r="N100" s="844" t="str">
        <f>IF(K100=0,"",K100)</f>
        <v>Указывается ссылка на документ, предварительно загруженный в хранилище файлов ФГИС ЕИАС.</v>
      </c>
      <c r="O100" s="957" t="s">
        <v>2218</v>
      </c>
      <c r="P100" s="957"/>
      <c r="Q100" s="957"/>
      <c r="R100" s="957"/>
      <c r="S100" s="957"/>
      <c r="T100" s="843" t="s">
        <v>2219</v>
      </c>
      <c r="U100" s="843"/>
      <c r="V100" s="843"/>
      <c r="W100" s="843"/>
      <c r="X100" s="843"/>
      <c r="Y100" s="1000"/>
      <c r="Z100" s="846" t="s">
        <v>634</v>
      </c>
      <c r="AA100" s="849"/>
      <c r="AB100" s="846"/>
      <c r="AC100" s="846"/>
      <c r="AD100" s="846"/>
    </row>
    <row customHeight="1" ht="27">
      <c r="A101" s="845"/>
      <c r="B101" s="899">
        <v>84</v>
      </c>
      <c r="C101" s="843"/>
      <c r="D101" s="967"/>
      <c r="E101" s="843"/>
      <c r="F101" s="843"/>
      <c r="G101" s="843"/>
      <c r="H101" s="891"/>
      <c r="I101" s="1005" t="str">
        <f>INDEX(TEMPLATE_NUMBER_POINT_FHD,B101,MATCH(TEMPLATE_SPHERE,TEMPLATE_SPHERE_LIST_FOR_NOTE,0))</f>
        <v>19.2</v>
      </c>
      <c r="J101" s="1005" t="str">
        <f>INDEX(TEMPLATE_DATA_POINT_FHD,B101,MATCH(TEMPLATE_SPHERE,TEMPLATE_SPHERE_LIST_FOR_NOTE,0))</f>
        <v>Информация о показателях энергетической эффективности объектов теплоснабжения</v>
      </c>
      <c r="K101" s="1005" t="str">
        <f>INDEX(TEMPLATE_NOTE_POINT_FHD,B101,MATCH(TEMPLATE_SPHERE,TEMPLATE_SPHERE_LIST_FOR_NOTE,0))</f>
        <v>Указывается ссылка на документ, предварительно загруженный в хранилище файлов ФГИС ЕИАС.</v>
      </c>
      <c r="L101" s="844" t="str">
        <f>IF(I101=0,"",I101)</f>
        <v>19.2</v>
      </c>
      <c r="M101" s="844" t="str">
        <f>IF(J101=0,"",J101)</f>
        <v>Информация о показателях энергетической эффективности объектов теплоснабжения</v>
      </c>
      <c r="N101" s="844" t="str">
        <f>IF(K101=0,"",K101)</f>
        <v>Указывается ссылка на документ, предварительно загруженный в хранилище файлов ФГИС ЕИАС.</v>
      </c>
      <c r="O101" s="957" t="s">
        <v>2220</v>
      </c>
      <c r="P101" s="957"/>
      <c r="Q101" s="957"/>
      <c r="R101" s="957"/>
      <c r="S101" s="957"/>
      <c r="T101" s="843" t="s">
        <v>2221</v>
      </c>
      <c r="U101" s="843"/>
      <c r="V101" s="843"/>
      <c r="W101" s="843"/>
      <c r="X101" s="843"/>
      <c r="Y101" s="1000"/>
      <c r="Z101" s="846" t="s">
        <v>634</v>
      </c>
      <c r="AA101" s="849"/>
      <c r="AB101" s="846"/>
      <c r="AC101" s="846"/>
      <c r="AD101" s="846"/>
    </row>
    <row customHeight="1" ht="9">
      <c r="A102" s="845"/>
      <c r="B102" s="845"/>
      <c r="C102" s="843"/>
      <c r="D102" s="843"/>
      <c r="E102" s="843"/>
      <c r="F102" s="843"/>
      <c r="G102" s="843"/>
      <c r="H102" s="891"/>
      <c r="I102" s="891"/>
      <c r="J102" s="891"/>
      <c r="K102" s="891"/>
      <c r="L102" s="891"/>
      <c r="M102" s="843"/>
      <c r="N102" s="890"/>
      <c r="O102" s="957"/>
      <c r="P102" s="957"/>
      <c r="Q102" s="957"/>
      <c r="R102" s="957"/>
      <c r="S102" s="843"/>
      <c r="T102" s="843"/>
      <c r="U102" s="843"/>
      <c r="V102" s="843"/>
      <c r="W102" s="843"/>
      <c r="X102" s="843"/>
      <c r="Y102" s="1000"/>
      <c r="Z102" s="846"/>
      <c r="AA102" s="849"/>
      <c r="AB102" s="846"/>
      <c r="AC102" s="846"/>
      <c r="AD102" s="846"/>
    </row>
    <row customHeight="1" ht="9">
      <c r="A103" s="845"/>
      <c r="B103" s="845"/>
      <c r="C103" s="843"/>
      <c r="D103" s="843"/>
      <c r="E103" s="843"/>
      <c r="F103" s="843"/>
      <c r="G103" s="843"/>
      <c r="H103" s="891"/>
      <c r="I103" s="891"/>
      <c r="J103" s="891"/>
      <c r="K103" s="891"/>
      <c r="L103" s="891"/>
      <c r="M103" s="843"/>
      <c r="N103" s="890"/>
      <c r="O103" s="957"/>
      <c r="P103" s="957"/>
      <c r="Q103" s="957"/>
      <c r="R103" s="957"/>
      <c r="S103" s="843"/>
      <c r="T103" s="843"/>
      <c r="U103" s="843"/>
      <c r="V103" s="843"/>
      <c r="W103" s="843"/>
      <c r="X103" s="843"/>
      <c r="Y103" s="1000"/>
      <c r="Z103" s="846"/>
      <c r="AA103" s="849"/>
      <c r="AB103" s="846"/>
      <c r="AC103" s="846"/>
      <c r="AD103" s="846"/>
    </row>
    <row customHeight="1" ht="9">
      <c r="A104" s="845"/>
      <c r="B104" s="845"/>
      <c r="C104" s="843"/>
      <c r="D104" s="843"/>
      <c r="E104" s="843"/>
      <c r="F104" s="843"/>
      <c r="G104" s="843"/>
      <c r="H104" s="891"/>
      <c r="I104" s="891"/>
      <c r="J104" s="891"/>
      <c r="K104" s="891"/>
      <c r="L104" s="891"/>
      <c r="M104" s="843"/>
      <c r="N104" s="890"/>
      <c r="O104" s="957"/>
      <c r="P104" s="957"/>
      <c r="Q104" s="957"/>
      <c r="R104" s="957"/>
      <c r="S104" s="843"/>
      <c r="T104" s="843"/>
      <c r="U104" s="843"/>
      <c r="V104" s="843"/>
      <c r="W104" s="843"/>
      <c r="X104" s="843"/>
      <c r="Y104" s="1000"/>
      <c r="Z104" s="846"/>
      <c r="AA104" s="849"/>
      <c r="AB104" s="846"/>
      <c r="AC104" s="846"/>
      <c r="AD104" s="846"/>
    </row>
    <row customHeight="1" ht="9">
      <c r="A105" s="845"/>
      <c r="B105" s="845"/>
      <c r="C105" s="843"/>
      <c r="D105" s="843"/>
      <c r="E105" s="843"/>
      <c r="F105" s="843"/>
      <c r="G105" s="843"/>
      <c r="H105" s="891"/>
      <c r="I105" s="891"/>
      <c r="J105" s="891"/>
      <c r="K105" s="891"/>
      <c r="L105" s="891"/>
      <c r="M105" s="843"/>
      <c r="N105" s="890"/>
      <c r="O105" s="957"/>
      <c r="P105" s="957"/>
      <c r="Q105" s="957"/>
      <c r="R105" s="957"/>
      <c r="S105" s="843"/>
      <c r="T105" s="843"/>
      <c r="U105" s="843"/>
      <c r="V105" s="843"/>
      <c r="W105" s="843"/>
      <c r="X105" s="843"/>
      <c r="Y105" s="1000"/>
      <c r="Z105" s="846"/>
      <c r="AA105" s="849"/>
      <c r="AB105" s="846"/>
      <c r="AC105" s="846"/>
      <c r="AD105" s="846"/>
    </row>
    <row customHeight="1" ht="9">
      <c r="A106" s="845"/>
      <c r="B106" s="845"/>
      <c r="C106" s="843"/>
      <c r="D106" s="843"/>
      <c r="E106" s="843"/>
      <c r="F106" s="843"/>
      <c r="G106" s="843"/>
      <c r="H106" s="891"/>
      <c r="I106" s="891"/>
      <c r="J106" s="891"/>
      <c r="K106" s="891"/>
      <c r="L106" s="891"/>
      <c r="M106" s="843"/>
      <c r="N106" s="890"/>
      <c r="O106" s="957"/>
      <c r="P106" s="957"/>
      <c r="Q106" s="957"/>
      <c r="R106" s="957"/>
      <c r="S106" s="843"/>
      <c r="T106" s="843"/>
      <c r="U106" s="843"/>
      <c r="V106" s="843"/>
      <c r="W106" s="843"/>
      <c r="X106" s="843"/>
      <c r="Y106" s="1000"/>
      <c r="Z106" s="846"/>
      <c r="AA106" s="849"/>
      <c r="AB106" s="846"/>
      <c r="AC106" s="846"/>
      <c r="AD106" s="846"/>
    </row>
    <row customHeight="1" ht="9">
      <c r="A107" s="845"/>
      <c r="B107" s="845"/>
      <c r="C107" s="843"/>
      <c r="D107" s="843"/>
      <c r="E107" s="843"/>
      <c r="F107" s="843"/>
      <c r="G107" s="843"/>
      <c r="H107" s="891"/>
      <c r="I107" s="891"/>
      <c r="J107" s="891"/>
      <c r="K107" s="891"/>
      <c r="L107" s="891"/>
      <c r="M107" s="843"/>
      <c r="N107" s="890"/>
      <c r="O107" s="957"/>
      <c r="P107" s="957"/>
      <c r="Q107" s="957"/>
      <c r="R107" s="957"/>
      <c r="S107" s="843"/>
      <c r="T107" s="843"/>
      <c r="U107" s="843"/>
      <c r="V107" s="843"/>
      <c r="W107" s="843"/>
      <c r="X107" s="843"/>
      <c r="Y107" s="1000"/>
      <c r="Z107" s="846"/>
      <c r="AA107" s="849"/>
      <c r="AB107" s="846"/>
      <c r="AC107" s="846"/>
      <c r="AD107" s="846"/>
    </row>
    <row customHeight="1" ht="9">
      <c r="A108" s="845"/>
      <c r="B108" s="845"/>
      <c r="C108" s="843"/>
      <c r="D108" s="843"/>
      <c r="E108" s="843"/>
      <c r="F108" s="843"/>
      <c r="G108" s="843"/>
      <c r="H108" s="891"/>
      <c r="I108" s="891"/>
      <c r="J108" s="891"/>
      <c r="K108" s="891"/>
      <c r="L108" s="891"/>
      <c r="M108" s="843"/>
      <c r="N108" s="890"/>
      <c r="O108" s="957"/>
      <c r="P108" s="957"/>
      <c r="Q108" s="957"/>
      <c r="R108" s="957"/>
      <c r="S108" s="843"/>
      <c r="T108" s="843"/>
      <c r="U108" s="843"/>
      <c r="V108" s="843"/>
      <c r="W108" s="843"/>
      <c r="X108" s="843"/>
      <c r="Y108" s="1000"/>
      <c r="Z108" s="846"/>
      <c r="AA108" s="849"/>
      <c r="AB108" s="846"/>
      <c r="AC108" s="846"/>
      <c r="AD108" s="846"/>
    </row>
    <row customHeight="1" ht="9">
      <c r="A109" s="845"/>
      <c r="B109" s="845"/>
      <c r="C109" s="843"/>
      <c r="D109" s="843"/>
      <c r="E109" s="843"/>
      <c r="F109" s="843"/>
      <c r="G109" s="843"/>
      <c r="H109" s="891"/>
      <c r="I109" s="891"/>
      <c r="J109" s="891"/>
      <c r="K109" s="891"/>
      <c r="L109" s="891"/>
      <c r="M109" s="843"/>
      <c r="N109" s="890"/>
      <c r="O109" s="957"/>
      <c r="P109" s="957"/>
      <c r="Q109" s="957"/>
      <c r="R109" s="957"/>
      <c r="S109" s="843"/>
      <c r="T109" s="843"/>
      <c r="U109" s="843"/>
      <c r="V109" s="843"/>
      <c r="W109" s="843"/>
      <c r="X109" s="843"/>
      <c r="Y109" s="1000"/>
      <c r="Z109" s="846"/>
      <c r="AA109" s="849"/>
      <c r="AB109" s="846"/>
      <c r="AC109" s="846"/>
      <c r="AD109" s="846"/>
    </row>
    <row customHeight="1" ht="9">
      <c r="A110" s="845"/>
      <c r="B110" s="845"/>
      <c r="C110" s="843"/>
      <c r="D110" s="843"/>
      <c r="E110" s="843"/>
      <c r="F110" s="843"/>
      <c r="G110" s="843"/>
      <c r="H110" s="891"/>
      <c r="I110" s="891"/>
      <c r="J110" s="891"/>
      <c r="K110" s="891"/>
      <c r="L110" s="891"/>
      <c r="M110" s="843"/>
      <c r="N110" s="890"/>
      <c r="O110" s="957"/>
      <c r="P110" s="957"/>
      <c r="Q110" s="957"/>
      <c r="R110" s="957"/>
      <c r="S110" s="843"/>
      <c r="T110" s="843"/>
      <c r="U110" s="843"/>
      <c r="V110" s="843"/>
      <c r="W110" s="843"/>
      <c r="X110" s="843"/>
      <c r="Y110" s="1000"/>
      <c r="Z110" s="846"/>
      <c r="AA110" s="849"/>
      <c r="AB110" s="846"/>
      <c r="AC110" s="846"/>
      <c r="AD110" s="846"/>
    </row>
    <row customHeight="1" ht="9">
      <c r="A111" s="845"/>
      <c r="B111" s="845"/>
      <c r="C111" s="843"/>
      <c r="D111" s="843"/>
      <c r="E111" s="843"/>
      <c r="F111" s="843"/>
      <c r="G111" s="843"/>
      <c r="H111" s="891"/>
      <c r="I111" s="891"/>
      <c r="J111" s="891"/>
      <c r="K111" s="891"/>
      <c r="L111" s="891"/>
      <c r="M111" s="843"/>
      <c r="N111" s="890"/>
      <c r="O111" s="957"/>
      <c r="P111" s="957"/>
      <c r="Q111" s="957"/>
      <c r="R111" s="957"/>
      <c r="S111" s="843"/>
      <c r="T111" s="843"/>
      <c r="U111" s="843"/>
      <c r="V111" s="843"/>
      <c r="W111" s="843"/>
      <c r="X111" s="843"/>
      <c r="Y111" s="1000"/>
      <c r="Z111" s="846"/>
      <c r="AA111" s="849"/>
      <c r="AB111" s="846"/>
      <c r="AC111" s="846"/>
      <c r="AD111" s="846"/>
    </row>
    <row customHeight="1" ht="9">
      <c r="A112" s="845"/>
      <c r="B112" s="845"/>
      <c r="C112" s="843"/>
      <c r="D112" s="843"/>
      <c r="E112" s="843"/>
      <c r="F112" s="843"/>
      <c r="G112" s="843"/>
      <c r="H112" s="891"/>
      <c r="I112" s="891"/>
      <c r="J112" s="891"/>
      <c r="K112" s="891"/>
      <c r="L112" s="891"/>
      <c r="M112" s="843"/>
      <c r="N112" s="890"/>
      <c r="O112" s="957"/>
      <c r="P112" s="957"/>
      <c r="Q112" s="957"/>
      <c r="R112" s="957"/>
      <c r="S112" s="843"/>
      <c r="T112" s="843"/>
      <c r="U112" s="843"/>
      <c r="V112" s="843"/>
      <c r="W112" s="843"/>
      <c r="X112" s="843"/>
      <c r="Y112" s="1000"/>
      <c r="Z112" s="846"/>
      <c r="AA112" s="849"/>
      <c r="AB112" s="846"/>
      <c r="AC112" s="846"/>
      <c r="AD112" s="846"/>
    </row>
    <row customHeight="1" ht="9">
      <c r="A113" s="845"/>
      <c r="B113" s="845"/>
      <c r="C113" s="843"/>
      <c r="D113" s="843"/>
      <c r="E113" s="843"/>
      <c r="F113" s="843"/>
      <c r="G113" s="843"/>
      <c r="H113" s="891"/>
      <c r="I113" s="891"/>
      <c r="J113" s="891"/>
      <c r="K113" s="891"/>
      <c r="L113" s="891"/>
      <c r="M113" s="843"/>
      <c r="N113" s="890"/>
      <c r="O113" s="957"/>
      <c r="P113" s="957"/>
      <c r="Q113" s="957"/>
      <c r="R113" s="957"/>
      <c r="S113" s="843"/>
      <c r="T113" s="843"/>
      <c r="U113" s="843"/>
      <c r="V113" s="843"/>
      <c r="W113" s="843"/>
      <c r="X113" s="843"/>
      <c r="Y113" s="1000"/>
      <c r="Z113" s="846"/>
      <c r="AA113" s="849"/>
      <c r="AB113" s="846"/>
      <c r="AC113" s="846"/>
      <c r="AD113" s="846"/>
    </row>
    <row customHeight="1" ht="9">
      <c r="A114" s="845"/>
      <c r="B114" s="845"/>
      <c r="C114" s="843"/>
      <c r="D114" s="843"/>
      <c r="E114" s="843"/>
      <c r="F114" s="843"/>
      <c r="G114" s="843"/>
      <c r="H114" s="891"/>
      <c r="I114" s="891"/>
      <c r="J114" s="891"/>
      <c r="K114" s="891"/>
      <c r="L114" s="891"/>
      <c r="M114" s="843"/>
      <c r="N114" s="890"/>
      <c r="O114" s="957"/>
      <c r="P114" s="957"/>
      <c r="Q114" s="957"/>
      <c r="R114" s="957"/>
      <c r="S114" s="843"/>
      <c r="T114" s="843"/>
      <c r="U114" s="843"/>
      <c r="V114" s="843"/>
      <c r="W114" s="843"/>
      <c r="X114" s="843"/>
      <c r="Y114" s="1000"/>
      <c r="Z114" s="846"/>
      <c r="AA114" s="849"/>
      <c r="AB114" s="846"/>
      <c r="AC114" s="846"/>
      <c r="AD114" s="846"/>
    </row>
    <row customHeight="1" ht="9">
      <c r="A115" s="845"/>
      <c r="B115" s="845"/>
      <c r="C115" s="843"/>
      <c r="D115" s="843"/>
      <c r="E115" s="843"/>
      <c r="F115" s="843"/>
      <c r="G115" s="843"/>
      <c r="H115" s="891"/>
      <c r="I115" s="891"/>
      <c r="J115" s="891"/>
      <c r="K115" s="891"/>
      <c r="L115" s="891"/>
      <c r="M115" s="843"/>
      <c r="N115" s="890"/>
      <c r="O115" s="957"/>
      <c r="P115" s="957"/>
      <c r="Q115" s="957"/>
      <c r="R115" s="957"/>
      <c r="S115" s="843"/>
      <c r="T115" s="843"/>
      <c r="U115" s="843"/>
      <c r="V115" s="843"/>
      <c r="W115" s="843"/>
      <c r="X115" s="843"/>
      <c r="Y115" s="1000"/>
      <c r="Z115" s="846"/>
      <c r="AA115" s="849"/>
      <c r="AB115" s="846"/>
      <c r="AC115" s="846"/>
      <c r="AD115" s="846"/>
    </row>
    <row customHeight="1" ht="9">
      <c r="A116" s="845"/>
      <c r="B116" s="845"/>
      <c r="C116" s="843"/>
      <c r="D116" s="843"/>
      <c r="E116" s="843"/>
      <c r="F116" s="843"/>
      <c r="G116" s="843"/>
      <c r="H116" s="891"/>
      <c r="I116" s="891"/>
      <c r="J116" s="891"/>
      <c r="K116" s="891"/>
      <c r="L116" s="891"/>
      <c r="M116" s="843"/>
      <c r="N116" s="890"/>
      <c r="O116" s="957"/>
      <c r="P116" s="957"/>
      <c r="Q116" s="957"/>
      <c r="R116" s="957"/>
      <c r="S116" s="843"/>
      <c r="T116" s="843"/>
      <c r="U116" s="843"/>
      <c r="V116" s="843"/>
      <c r="W116" s="843"/>
      <c r="X116" s="843"/>
      <c r="Y116" s="1000"/>
      <c r="Z116" s="846"/>
      <c r="AA116" s="849"/>
      <c r="AB116" s="846"/>
      <c r="AC116" s="846"/>
      <c r="AD116" s="846"/>
    </row>
    <row customHeight="1" ht="9">
      <c r="A117" s="845"/>
      <c r="B117" s="845"/>
      <c r="C117" s="843"/>
      <c r="D117" s="843"/>
      <c r="E117" s="843"/>
      <c r="F117" s="843"/>
      <c r="G117" s="843"/>
      <c r="H117" s="891"/>
      <c r="I117" s="891"/>
      <c r="J117" s="891"/>
      <c r="K117" s="891"/>
      <c r="L117" s="891"/>
      <c r="M117" s="843"/>
      <c r="N117" s="890"/>
      <c r="O117" s="957"/>
      <c r="P117" s="957"/>
      <c r="Q117" s="957"/>
      <c r="R117" s="957"/>
      <c r="S117" s="843"/>
      <c r="T117" s="843"/>
      <c r="U117" s="843"/>
      <c r="V117" s="843"/>
      <c r="W117" s="843"/>
      <c r="X117" s="843"/>
      <c r="Y117" s="1000"/>
      <c r="Z117" s="846"/>
      <c r="AA117" s="849"/>
      <c r="AB117" s="846"/>
      <c r="AC117" s="846"/>
      <c r="AD117" s="846"/>
    </row>
    <row customHeight="1" ht="9">
      <c r="A118" s="845"/>
      <c r="B118" s="845"/>
      <c r="C118" s="843"/>
      <c r="D118" s="843"/>
      <c r="E118" s="843"/>
      <c r="F118" s="843"/>
      <c r="G118" s="843"/>
      <c r="H118" s="891"/>
      <c r="I118" s="891"/>
      <c r="J118" s="891"/>
      <c r="K118" s="891"/>
      <c r="L118" s="891"/>
      <c r="M118" s="843"/>
      <c r="N118" s="890"/>
      <c r="O118" s="957"/>
      <c r="P118" s="957"/>
      <c r="Q118" s="957"/>
      <c r="R118" s="957"/>
      <c r="S118" s="843"/>
      <c r="T118" s="843"/>
      <c r="U118" s="843"/>
      <c r="V118" s="843"/>
      <c r="W118" s="843"/>
      <c r="X118" s="843"/>
      <c r="Y118" s="1000"/>
      <c r="Z118" s="846"/>
      <c r="AA118" s="849"/>
      <c r="AB118" s="846"/>
      <c r="AC118" s="846"/>
      <c r="AD118" s="846"/>
    </row>
    <row customHeight="1" ht="9">
      <c r="A119" s="845"/>
      <c r="B119" s="845"/>
      <c r="C119" s="843"/>
      <c r="D119" s="843"/>
      <c r="E119" s="843"/>
      <c r="F119" s="843"/>
      <c r="G119" s="843"/>
      <c r="H119" s="891"/>
      <c r="I119" s="891"/>
      <c r="J119" s="891"/>
      <c r="K119" s="891"/>
      <c r="L119" s="891"/>
      <c r="M119" s="843"/>
      <c r="N119" s="890"/>
      <c r="O119" s="957"/>
      <c r="P119" s="957"/>
      <c r="Q119" s="957"/>
      <c r="R119" s="957"/>
      <c r="S119" s="843"/>
      <c r="T119" s="843"/>
      <c r="U119" s="843"/>
      <c r="V119" s="843"/>
      <c r="W119" s="843"/>
      <c r="X119" s="843"/>
      <c r="Y119" s="1000"/>
      <c r="Z119" s="846"/>
      <c r="AA119" s="849"/>
      <c r="AB119" s="846"/>
      <c r="AC119" s="846"/>
      <c r="AD119" s="846"/>
    </row>
    <row customHeight="1" ht="9">
      <c r="A120" s="845"/>
      <c r="B120" s="845"/>
      <c r="C120" s="843"/>
      <c r="D120" s="843"/>
      <c r="E120" s="843"/>
      <c r="F120" s="843"/>
      <c r="G120" s="843"/>
      <c r="H120" s="891"/>
      <c r="I120" s="891"/>
      <c r="J120" s="891"/>
      <c r="K120" s="891"/>
      <c r="L120" s="891"/>
      <c r="M120" s="843"/>
      <c r="N120" s="890"/>
      <c r="O120" s="957"/>
      <c r="P120" s="957"/>
      <c r="Q120" s="957"/>
      <c r="R120" s="957"/>
      <c r="S120" s="843"/>
      <c r="T120" s="843"/>
      <c r="U120" s="843"/>
      <c r="V120" s="843"/>
      <c r="W120" s="843"/>
      <c r="X120" s="843"/>
      <c r="Y120" s="1000"/>
      <c r="Z120" s="846"/>
      <c r="AA120" s="849"/>
      <c r="AB120" s="846"/>
      <c r="AC120" s="846"/>
      <c r="AD120" s="846"/>
    </row>
    <row customHeight="1" ht="9">
      <c r="A121" s="845"/>
      <c r="B121" s="845"/>
      <c r="C121" s="843"/>
      <c r="D121" s="843"/>
      <c r="E121" s="843"/>
      <c r="F121" s="843"/>
      <c r="G121" s="843"/>
      <c r="H121" s="891"/>
      <c r="I121" s="891"/>
      <c r="J121" s="891"/>
      <c r="K121" s="891"/>
      <c r="L121" s="891"/>
      <c r="M121" s="843"/>
      <c r="N121" s="890"/>
      <c r="O121" s="957"/>
      <c r="P121" s="957"/>
      <c r="Q121" s="957"/>
      <c r="R121" s="957"/>
      <c r="S121" s="843"/>
      <c r="T121" s="843"/>
      <c r="U121" s="843"/>
      <c r="V121" s="843"/>
      <c r="W121" s="843"/>
      <c r="X121" s="843"/>
      <c r="Y121" s="1000"/>
      <c r="Z121" s="846"/>
      <c r="AA121" s="849"/>
      <c r="AB121" s="846"/>
      <c r="AC121" s="846"/>
      <c r="AD121" s="846"/>
    </row>
    <row customHeight="1" ht="9">
      <c r="A122" s="845"/>
      <c r="B122" s="845"/>
      <c r="C122" s="843"/>
      <c r="D122" s="843"/>
      <c r="E122" s="843"/>
      <c r="F122" s="843"/>
      <c r="G122" s="843"/>
      <c r="H122" s="891"/>
      <c r="I122" s="891"/>
      <c r="J122" s="891"/>
      <c r="K122" s="891"/>
      <c r="L122" s="891"/>
      <c r="M122" s="843"/>
      <c r="N122" s="890"/>
      <c r="O122" s="957"/>
      <c r="P122" s="957"/>
      <c r="Q122" s="957"/>
      <c r="R122" s="957"/>
      <c r="S122" s="843"/>
      <c r="T122" s="843"/>
      <c r="U122" s="843"/>
      <c r="V122" s="843"/>
      <c r="W122" s="843"/>
      <c r="X122" s="843"/>
      <c r="Y122" s="1000"/>
      <c r="Z122" s="846"/>
      <c r="AA122" s="849"/>
      <c r="AB122" s="846"/>
      <c r="AC122" s="846"/>
      <c r="AD122" s="846"/>
    </row>
    <row customHeight="1" ht="9">
      <c r="A123" s="845"/>
      <c r="B123" s="845"/>
      <c r="C123" s="843"/>
      <c r="D123" s="843"/>
      <c r="E123" s="843"/>
      <c r="F123" s="843"/>
      <c r="G123" s="843"/>
      <c r="H123" s="891"/>
      <c r="I123" s="891"/>
      <c r="J123" s="891"/>
      <c r="K123" s="891"/>
      <c r="L123" s="891"/>
      <c r="M123" s="843"/>
      <c r="N123" s="890"/>
      <c r="O123" s="957"/>
      <c r="P123" s="957"/>
      <c r="Q123" s="957"/>
      <c r="R123" s="957"/>
      <c r="S123" s="843"/>
      <c r="T123" s="843"/>
      <c r="U123" s="843"/>
      <c r="V123" s="843"/>
      <c r="W123" s="843"/>
      <c r="X123" s="843"/>
      <c r="Y123" s="1000"/>
      <c r="Z123" s="846"/>
      <c r="AA123" s="849"/>
      <c r="AB123" s="846"/>
      <c r="AC123" s="846"/>
      <c r="AD123" s="846"/>
    </row>
    <row customHeight="1" ht="9">
      <c r="A124" s="845"/>
      <c r="B124" s="845"/>
      <c r="C124" s="843"/>
      <c r="D124" s="843"/>
      <c r="E124" s="843"/>
      <c r="F124" s="843"/>
      <c r="G124" s="843"/>
      <c r="H124" s="891"/>
      <c r="I124" s="891"/>
      <c r="J124" s="891"/>
      <c r="K124" s="891"/>
      <c r="L124" s="891"/>
      <c r="M124" s="843"/>
      <c r="N124" s="890"/>
      <c r="O124" s="957"/>
      <c r="P124" s="957"/>
      <c r="Q124" s="957"/>
      <c r="R124" s="957"/>
      <c r="S124" s="843"/>
      <c r="T124" s="843"/>
      <c r="U124" s="843"/>
      <c r="V124" s="843"/>
      <c r="W124" s="843"/>
      <c r="X124" s="843"/>
      <c r="Y124" s="1000"/>
      <c r="Z124" s="846"/>
      <c r="AA124" s="849"/>
      <c r="AB124" s="846"/>
      <c r="AC124" s="846"/>
      <c r="AD124" s="846"/>
    </row>
    <row customHeight="1" ht="9">
      <c r="A125" s="845"/>
      <c r="B125" s="845"/>
      <c r="C125" s="843"/>
      <c r="D125" s="843"/>
      <c r="E125" s="843"/>
      <c r="F125" s="843"/>
      <c r="G125" s="843"/>
      <c r="H125" s="891"/>
      <c r="I125" s="891"/>
      <c r="J125" s="891"/>
      <c r="K125" s="891"/>
      <c r="L125" s="891"/>
      <c r="M125" s="843"/>
      <c r="N125" s="890"/>
      <c r="O125" s="957"/>
      <c r="P125" s="957"/>
      <c r="Q125" s="957"/>
      <c r="R125" s="957"/>
      <c r="S125" s="843"/>
      <c r="T125" s="843"/>
      <c r="U125" s="843"/>
      <c r="V125" s="843"/>
      <c r="W125" s="843"/>
      <c r="X125" s="843"/>
      <c r="Y125" s="1000"/>
      <c r="Z125" s="846"/>
      <c r="AA125" s="849"/>
      <c r="AB125" s="846"/>
      <c r="AC125" s="846"/>
      <c r="AD125" s="846"/>
    </row>
    <row customHeight="1" ht="9">
      <c r="A126" s="845"/>
      <c r="B126" s="845"/>
      <c r="C126" s="843"/>
      <c r="D126" s="843"/>
      <c r="E126" s="843"/>
      <c r="F126" s="843"/>
      <c r="G126" s="843"/>
      <c r="H126" s="891"/>
      <c r="I126" s="891"/>
      <c r="J126" s="891"/>
      <c r="K126" s="891"/>
      <c r="L126" s="891"/>
      <c r="M126" s="843"/>
      <c r="N126" s="890"/>
      <c r="O126" s="957"/>
      <c r="P126" s="957"/>
      <c r="Q126" s="957"/>
      <c r="R126" s="957"/>
      <c r="S126" s="843"/>
      <c r="T126" s="843"/>
      <c r="U126" s="843"/>
      <c r="V126" s="843"/>
      <c r="W126" s="843"/>
      <c r="X126" s="843"/>
      <c r="Y126" s="1000"/>
      <c r="Z126" s="846"/>
      <c r="AA126" s="849"/>
      <c r="AB126" s="846"/>
      <c r="AC126" s="846"/>
      <c r="AD126" s="846"/>
    </row>
    <row customHeight="1" ht="9">
      <c r="A127" s="845"/>
      <c r="B127" s="845"/>
      <c r="C127" s="843"/>
      <c r="D127" s="843"/>
      <c r="E127" s="843"/>
      <c r="F127" s="843"/>
      <c r="G127" s="843"/>
      <c r="H127" s="891"/>
      <c r="I127" s="891"/>
      <c r="J127" s="891"/>
      <c r="K127" s="891"/>
      <c r="L127" s="891"/>
      <c r="M127" s="843"/>
      <c r="N127" s="890"/>
      <c r="O127" s="957"/>
      <c r="P127" s="957"/>
      <c r="Q127" s="957"/>
      <c r="R127" s="957"/>
      <c r="S127" s="843"/>
      <c r="T127" s="843"/>
      <c r="U127" s="843"/>
      <c r="V127" s="843"/>
      <c r="W127" s="843"/>
      <c r="X127" s="843"/>
      <c r="Y127" s="1000"/>
      <c r="Z127" s="846"/>
      <c r="AA127" s="849"/>
      <c r="AB127" s="846"/>
      <c r="AC127" s="846"/>
      <c r="AD127" s="846"/>
    </row>
    <row customHeight="1" ht="9">
      <c r="A128" s="845"/>
      <c r="B128" s="845"/>
      <c r="C128" s="843"/>
      <c r="D128" s="843"/>
      <c r="E128" s="843"/>
      <c r="F128" s="843"/>
      <c r="G128" s="843"/>
      <c r="H128" s="891"/>
      <c r="I128" s="891"/>
      <c r="J128" s="891"/>
      <c r="K128" s="891"/>
      <c r="L128" s="891"/>
      <c r="M128" s="843"/>
      <c r="N128" s="890"/>
      <c r="O128" s="957"/>
      <c r="P128" s="957"/>
      <c r="Q128" s="957"/>
      <c r="R128" s="957"/>
      <c r="S128" s="843"/>
      <c r="T128" s="843"/>
      <c r="U128" s="843"/>
      <c r="V128" s="843"/>
      <c r="W128" s="843"/>
      <c r="X128" s="843"/>
      <c r="Y128" s="1000"/>
      <c r="Z128" s="846"/>
      <c r="AA128" s="849"/>
      <c r="AB128" s="846"/>
      <c r="AC128" s="846"/>
      <c r="AD128" s="846"/>
    </row>
    <row customHeight="1" ht="9">
      <c r="A129" s="845"/>
      <c r="B129" s="845"/>
      <c r="C129" s="843"/>
      <c r="D129" s="843"/>
      <c r="E129" s="843"/>
      <c r="F129" s="843"/>
      <c r="G129" s="843"/>
      <c r="H129" s="891"/>
      <c r="I129" s="891"/>
      <c r="J129" s="891"/>
      <c r="K129" s="891"/>
      <c r="L129" s="891"/>
      <c r="M129" s="843"/>
      <c r="N129" s="890"/>
      <c r="O129" s="957"/>
      <c r="P129" s="957"/>
      <c r="Q129" s="957"/>
      <c r="R129" s="957"/>
      <c r="S129" s="843"/>
      <c r="T129" s="843"/>
      <c r="U129" s="843"/>
      <c r="V129" s="843"/>
      <c r="W129" s="843"/>
      <c r="X129" s="843"/>
      <c r="Y129" s="1000"/>
      <c r="Z129" s="846"/>
      <c r="AA129" s="849"/>
      <c r="AB129" s="846"/>
      <c r="AC129" s="846"/>
      <c r="AD129" s="846"/>
    </row>
    <row customHeight="1" ht="9">
      <c r="A130" s="845"/>
      <c r="B130" s="845"/>
      <c r="C130" s="843"/>
      <c r="D130" s="843"/>
      <c r="E130" s="843"/>
      <c r="F130" s="843"/>
      <c r="G130" s="843"/>
      <c r="H130" s="891"/>
      <c r="I130" s="891"/>
      <c r="J130" s="891"/>
      <c r="K130" s="891"/>
      <c r="L130" s="891"/>
      <c r="M130" s="843"/>
      <c r="N130" s="890"/>
      <c r="O130" s="959"/>
      <c r="P130" s="959"/>
      <c r="Q130" s="959"/>
      <c r="R130" s="959"/>
      <c r="S130" s="843"/>
      <c r="T130" s="843"/>
      <c r="U130" s="843"/>
      <c r="V130" s="843"/>
      <c r="W130" s="843"/>
      <c r="X130" s="843"/>
      <c r="Y130" s="1000"/>
      <c r="Z130" s="846"/>
      <c r="AA130" s="849"/>
      <c r="AB130" s="846"/>
      <c r="AC130" s="846"/>
      <c r="AD130" s="846"/>
    </row>
    <row customHeight="1" ht="9">
      <c r="A131" s="845"/>
      <c r="B131" s="845"/>
      <c r="C131" s="843"/>
      <c r="D131" s="843"/>
      <c r="E131" s="843"/>
      <c r="F131" s="843"/>
      <c r="G131" s="843"/>
      <c r="H131" s="891"/>
      <c r="I131" s="891"/>
      <c r="J131" s="891"/>
      <c r="K131" s="891"/>
      <c r="L131" s="891"/>
      <c r="M131" s="843"/>
      <c r="N131" s="890"/>
      <c r="O131" s="960"/>
      <c r="P131" s="960"/>
      <c r="Q131" s="960"/>
      <c r="R131" s="960"/>
      <c r="S131" s="843"/>
      <c r="T131" s="843"/>
      <c r="U131" s="843"/>
      <c r="V131" s="843"/>
      <c r="W131" s="843"/>
      <c r="X131" s="843"/>
      <c r="Y131" s="1000"/>
      <c r="Z131" s="846"/>
      <c r="AA131" s="849"/>
      <c r="AB131" s="846"/>
      <c r="AC131" s="846"/>
      <c r="AD131" s="846"/>
    </row>
    <row customHeight="1" ht="9">
      <c r="A132" s="845"/>
      <c r="B132" s="845"/>
      <c r="C132" s="843"/>
      <c r="D132" s="843"/>
      <c r="E132" s="843"/>
      <c r="F132" s="843"/>
      <c r="G132" s="843"/>
      <c r="H132" s="891"/>
      <c r="I132" s="891"/>
      <c r="J132" s="891"/>
      <c r="K132" s="891"/>
      <c r="L132" s="891"/>
      <c r="M132" s="843"/>
      <c r="N132" s="890"/>
      <c r="O132" s="959"/>
      <c r="P132" s="959"/>
      <c r="Q132" s="959"/>
      <c r="R132" s="959"/>
      <c r="S132" s="843"/>
      <c r="T132" s="843"/>
      <c r="U132" s="843"/>
      <c r="V132" s="843"/>
      <c r="W132" s="843"/>
      <c r="X132" s="843"/>
      <c r="Y132" s="1000"/>
      <c r="Z132" s="846"/>
      <c r="AA132" s="849"/>
      <c r="AB132" s="846"/>
      <c r="AC132" s="846"/>
      <c r="AD132" s="846"/>
    </row>
    <row customHeight="1" ht="9">
      <c r="A133" s="845"/>
      <c r="B133" s="845"/>
      <c r="C133" s="843"/>
      <c r="D133" s="843"/>
      <c r="E133" s="843"/>
      <c r="F133" s="843"/>
      <c r="G133" s="843"/>
      <c r="H133" s="891"/>
      <c r="I133" s="891"/>
      <c r="J133" s="891"/>
      <c r="K133" s="891"/>
      <c r="L133" s="891"/>
      <c r="M133" s="843"/>
      <c r="N133" s="890"/>
      <c r="O133" s="960"/>
      <c r="P133" s="960"/>
      <c r="Q133" s="960"/>
      <c r="R133" s="960"/>
      <c r="S133" s="843"/>
      <c r="T133" s="843"/>
      <c r="U133" s="843"/>
      <c r="V133" s="843"/>
      <c r="W133" s="843"/>
      <c r="X133" s="843"/>
      <c r="Y133" s="1000"/>
      <c r="Z133" s="846"/>
      <c r="AA133" s="849"/>
      <c r="AB133" s="846"/>
      <c r="AC133" s="846"/>
      <c r="AD133" s="846"/>
    </row>
    <row customHeight="1" ht="9">
      <c r="A134" s="845"/>
      <c r="B134" s="845"/>
      <c r="C134" s="843"/>
      <c r="D134" s="843"/>
      <c r="E134" s="843"/>
      <c r="F134" s="843"/>
      <c r="G134" s="843"/>
      <c r="H134" s="891"/>
      <c r="I134" s="891"/>
      <c r="J134" s="891"/>
      <c r="K134" s="891"/>
      <c r="L134" s="891"/>
      <c r="M134" s="843"/>
      <c r="N134" s="890"/>
      <c r="O134" s="957"/>
      <c r="P134" s="957"/>
      <c r="Q134" s="957"/>
      <c r="R134" s="957"/>
      <c r="S134" s="843"/>
      <c r="T134" s="843"/>
      <c r="U134" s="843"/>
      <c r="V134" s="843"/>
      <c r="W134" s="843"/>
      <c r="X134" s="843"/>
      <c r="Y134" s="1000"/>
      <c r="Z134" s="846"/>
      <c r="AA134" s="849"/>
      <c r="AB134" s="846"/>
      <c r="AC134" s="846"/>
      <c r="AD134" s="846"/>
    </row>
    <row customHeight="1" ht="9">
      <c r="A135" s="845"/>
      <c r="B135" s="845"/>
      <c r="C135" s="843"/>
      <c r="D135" s="843"/>
      <c r="E135" s="843"/>
      <c r="F135" s="843"/>
      <c r="G135" s="843"/>
      <c r="H135" s="891"/>
      <c r="I135" s="891"/>
      <c r="J135" s="891"/>
      <c r="K135" s="891"/>
      <c r="L135" s="891"/>
      <c r="M135" s="843"/>
      <c r="N135" s="890"/>
      <c r="O135" s="957"/>
      <c r="P135" s="957"/>
      <c r="Q135" s="957"/>
      <c r="R135" s="957"/>
      <c r="S135" s="843"/>
      <c r="T135" s="843"/>
      <c r="U135" s="843"/>
      <c r="V135" s="843"/>
      <c r="W135" s="843"/>
      <c r="X135" s="843"/>
      <c r="Y135" s="1000"/>
      <c r="Z135" s="846"/>
      <c r="AA135" s="849"/>
      <c r="AB135" s="846"/>
      <c r="AC135" s="846"/>
      <c r="AD135" s="846"/>
    </row>
    <row customHeight="1" ht="9">
      <c r="A136" s="845"/>
      <c r="B136" s="845"/>
      <c r="C136" s="843"/>
      <c r="D136" s="843"/>
      <c r="E136" s="843"/>
      <c r="F136" s="843"/>
      <c r="G136" s="843"/>
      <c r="H136" s="891"/>
      <c r="I136" s="891"/>
      <c r="J136" s="891"/>
      <c r="K136" s="891"/>
      <c r="L136" s="891"/>
      <c r="M136" s="843"/>
      <c r="N136" s="890"/>
      <c r="O136" s="957"/>
      <c r="P136" s="957"/>
      <c r="Q136" s="957"/>
      <c r="R136" s="957"/>
      <c r="S136" s="843"/>
      <c r="T136" s="843"/>
      <c r="U136" s="843"/>
      <c r="V136" s="843"/>
      <c r="W136" s="843"/>
      <c r="X136" s="843"/>
      <c r="Y136" s="1000"/>
      <c r="Z136" s="846"/>
      <c r="AA136" s="849"/>
      <c r="AB136" s="846"/>
      <c r="AC136" s="846"/>
      <c r="AD136" s="846"/>
    </row>
    <row customHeight="1" ht="9">
      <c r="A137" s="845"/>
      <c r="B137" s="845"/>
      <c r="C137" s="843"/>
      <c r="D137" s="843"/>
      <c r="E137" s="843"/>
      <c r="F137" s="843"/>
      <c r="G137" s="843"/>
      <c r="H137" s="891"/>
      <c r="I137" s="891"/>
      <c r="J137" s="891"/>
      <c r="K137" s="891"/>
      <c r="L137" s="891"/>
      <c r="M137" s="843"/>
      <c r="N137" s="890"/>
      <c r="O137" s="961"/>
      <c r="P137" s="961"/>
      <c r="Q137" s="961"/>
      <c r="R137" s="961"/>
      <c r="S137" s="843"/>
      <c r="T137" s="843"/>
      <c r="U137" s="843"/>
      <c r="V137" s="843"/>
      <c r="W137" s="843"/>
      <c r="X137" s="843"/>
      <c r="Y137" s="1000"/>
      <c r="Z137" s="846"/>
      <c r="AA137" s="849"/>
      <c r="AB137" s="846"/>
      <c r="AC137" s="846"/>
      <c r="AD137" s="846"/>
    </row>
    <row customHeight="1" ht="9">
      <c r="A138" s="845"/>
      <c r="B138" s="845"/>
      <c r="C138" s="843"/>
      <c r="D138" s="843"/>
      <c r="E138" s="843"/>
      <c r="F138" s="843"/>
      <c r="G138" s="843"/>
      <c r="H138" s="891"/>
      <c r="I138" s="891"/>
      <c r="J138" s="891"/>
      <c r="K138" s="891"/>
      <c r="L138" s="891"/>
      <c r="M138" s="843"/>
      <c r="N138" s="890"/>
      <c r="O138" s="958"/>
      <c r="P138" s="958"/>
      <c r="Q138" s="958"/>
      <c r="R138" s="958"/>
      <c r="S138" s="843"/>
      <c r="T138" s="843"/>
      <c r="U138" s="843"/>
      <c r="V138" s="843"/>
      <c r="W138" s="843"/>
      <c r="X138" s="843"/>
      <c r="Y138" s="1000"/>
      <c r="Z138" s="846"/>
      <c r="AA138" s="849"/>
      <c r="AB138" s="846"/>
      <c r="AC138" s="846"/>
      <c r="AD138" s="846"/>
    </row>
    <row customHeight="1" ht="9">
      <c r="A139" s="845"/>
      <c r="B139" s="845"/>
      <c r="C139" s="843"/>
      <c r="D139" s="843"/>
      <c r="E139" s="843"/>
      <c r="F139" s="843"/>
      <c r="G139" s="843"/>
      <c r="H139" s="891"/>
      <c r="I139" s="891"/>
      <c r="J139" s="891"/>
      <c r="K139" s="891"/>
      <c r="L139" s="891"/>
      <c r="M139" s="843"/>
      <c r="N139" s="890"/>
      <c r="O139" s="843"/>
      <c r="P139" s="843"/>
      <c r="Q139" s="843"/>
      <c r="R139" s="843"/>
      <c r="S139" s="843"/>
      <c r="T139" s="843"/>
      <c r="U139" s="843"/>
      <c r="V139" s="843"/>
      <c r="W139" s="843"/>
      <c r="X139" s="843"/>
      <c r="Y139" s="1000"/>
      <c r="Z139" s="846"/>
      <c r="AA139" s="849"/>
      <c r="AB139" s="846"/>
      <c r="AC139" s="846"/>
      <c r="AD139" s="846"/>
    </row>
    <row customHeight="1" ht="9">
      <c r="A140" s="845"/>
      <c r="B140" s="845"/>
      <c r="C140" s="843"/>
      <c r="D140" s="843"/>
      <c r="E140" s="843"/>
      <c r="F140" s="843"/>
      <c r="G140" s="843"/>
      <c r="H140" s="891"/>
      <c r="I140" s="891"/>
      <c r="J140" s="891"/>
      <c r="K140" s="891"/>
      <c r="L140" s="891"/>
      <c r="M140" s="843"/>
      <c r="N140" s="890"/>
      <c r="O140" s="843"/>
      <c r="P140" s="843"/>
      <c r="Q140" s="843"/>
      <c r="R140" s="843"/>
      <c r="S140" s="843"/>
      <c r="T140" s="843"/>
      <c r="U140" s="843"/>
      <c r="V140" s="843"/>
      <c r="W140" s="843"/>
      <c r="X140" s="843"/>
      <c r="Y140" s="1000"/>
      <c r="Z140" s="846"/>
      <c r="AA140" s="849"/>
      <c r="AB140" s="846"/>
      <c r="AC140" s="846"/>
      <c r="AD140" s="846"/>
    </row>
    <row customHeight="1" ht="9">
      <c r="A141" s="845"/>
      <c r="B141" s="845"/>
      <c r="C141" s="843"/>
      <c r="D141" s="843"/>
      <c r="E141" s="843"/>
      <c r="F141" s="843"/>
      <c r="G141" s="843"/>
      <c r="H141" s="891"/>
      <c r="I141" s="891"/>
      <c r="J141" s="891"/>
      <c r="K141" s="891"/>
      <c r="L141" s="891"/>
      <c r="M141" s="843"/>
      <c r="N141" s="890"/>
      <c r="O141" s="843"/>
      <c r="P141" s="843"/>
      <c r="Q141" s="843"/>
      <c r="R141" s="843"/>
      <c r="S141" s="843"/>
      <c r="T141" s="843"/>
      <c r="U141" s="843"/>
      <c r="V141" s="843"/>
      <c r="W141" s="843"/>
      <c r="X141" s="843"/>
      <c r="Y141" s="1000"/>
      <c r="Z141" s="846"/>
      <c r="AA141" s="849"/>
      <c r="AB141" s="846"/>
      <c r="AC141" s="846"/>
      <c r="AD141" s="846"/>
    </row>
    <row customHeight="1" ht="9">
      <c r="A142" s="845"/>
      <c r="B142" s="845"/>
      <c r="C142" s="843"/>
      <c r="D142" s="843"/>
      <c r="E142" s="843"/>
      <c r="F142" s="843"/>
      <c r="G142" s="843"/>
      <c r="H142" s="891"/>
      <c r="I142" s="891"/>
      <c r="J142" s="891"/>
      <c r="K142" s="891"/>
      <c r="L142" s="891"/>
      <c r="M142" s="843"/>
      <c r="N142" s="890"/>
      <c r="O142" s="843"/>
      <c r="P142" s="843"/>
      <c r="Q142" s="843"/>
      <c r="R142" s="843"/>
      <c r="S142" s="843"/>
      <c r="T142" s="843"/>
      <c r="U142" s="843"/>
      <c r="V142" s="843"/>
      <c r="W142" s="843"/>
      <c r="X142" s="843"/>
      <c r="Y142" s="1000"/>
      <c r="Z142" s="846"/>
      <c r="AA142" s="849"/>
      <c r="AB142" s="846"/>
      <c r="AC142" s="846"/>
      <c r="AD142" s="846"/>
    </row>
    <row customHeight="1" ht="9">
      <c r="A143" s="845"/>
      <c r="B143" s="845"/>
      <c r="C143" s="843"/>
      <c r="D143" s="843"/>
      <c r="E143" s="843"/>
      <c r="F143" s="843"/>
      <c r="G143" s="843"/>
      <c r="H143" s="891"/>
      <c r="I143" s="891"/>
      <c r="J143" s="891"/>
      <c r="K143" s="891"/>
      <c r="L143" s="891"/>
      <c r="M143" s="843"/>
      <c r="N143" s="890"/>
      <c r="O143" s="843"/>
      <c r="P143" s="843"/>
      <c r="Q143" s="843"/>
      <c r="R143" s="843"/>
      <c r="S143" s="843"/>
      <c r="T143" s="843"/>
      <c r="U143" s="843"/>
      <c r="V143" s="843"/>
      <c r="W143" s="843"/>
      <c r="X143" s="843"/>
      <c r="Y143" s="1000"/>
      <c r="Z143" s="846"/>
      <c r="AA143" s="849"/>
      <c r="AB143" s="846"/>
      <c r="AC143" s="846"/>
      <c r="AD143" s="846"/>
    </row>
    <row customHeight="1" ht="9">
      <c r="A144" s="845"/>
      <c r="B144" s="845"/>
      <c r="C144" s="843"/>
      <c r="D144" s="843"/>
      <c r="E144" s="843"/>
      <c r="F144" s="843"/>
      <c r="G144" s="843"/>
      <c r="H144" s="891"/>
      <c r="I144" s="891"/>
      <c r="J144" s="891"/>
      <c r="K144" s="891"/>
      <c r="L144" s="891"/>
      <c r="M144" s="843"/>
      <c r="N144" s="890"/>
      <c r="O144" s="843"/>
      <c r="P144" s="843"/>
      <c r="Q144" s="843"/>
      <c r="R144" s="843"/>
      <c r="S144" s="843"/>
      <c r="T144" s="843"/>
      <c r="U144" s="843"/>
      <c r="V144" s="843"/>
      <c r="W144" s="843"/>
      <c r="X144" s="843"/>
      <c r="Y144" s="1000"/>
      <c r="Z144" s="846"/>
      <c r="AA144" s="849"/>
      <c r="AB144" s="846"/>
      <c r="AC144" s="846"/>
      <c r="AD144" s="846"/>
    </row>
    <row customHeight="1" ht="9">
      <c r="A145" s="845"/>
      <c r="B145" s="845"/>
      <c r="C145" s="843"/>
      <c r="D145" s="843"/>
      <c r="E145" s="843"/>
      <c r="F145" s="843"/>
      <c r="G145" s="843"/>
      <c r="H145" s="891"/>
      <c r="I145" s="891"/>
      <c r="J145" s="891"/>
      <c r="K145" s="891"/>
      <c r="L145" s="891"/>
      <c r="M145" s="843"/>
      <c r="N145" s="890"/>
      <c r="O145" s="843"/>
      <c r="P145" s="843"/>
      <c r="Q145" s="843"/>
      <c r="R145" s="843"/>
      <c r="S145" s="843"/>
      <c r="T145" s="843"/>
      <c r="U145" s="843"/>
      <c r="V145" s="843"/>
      <c r="W145" s="843"/>
      <c r="X145" s="843"/>
      <c r="Y145" s="1000"/>
      <c r="Z145" s="846"/>
      <c r="AA145" s="849"/>
      <c r="AB145" s="846"/>
      <c r="AC145" s="846"/>
      <c r="AD145" s="846"/>
    </row>
    <row customHeight="1" ht="9">
      <c r="A146" s="845"/>
      <c r="B146" s="845"/>
      <c r="C146" s="843"/>
      <c r="D146" s="843"/>
      <c r="E146" s="843"/>
      <c r="F146" s="843"/>
      <c r="G146" s="843"/>
      <c r="H146" s="891"/>
      <c r="I146" s="891"/>
      <c r="J146" s="891"/>
      <c r="K146" s="891"/>
      <c r="L146" s="891"/>
      <c r="M146" s="843"/>
      <c r="N146" s="890"/>
      <c r="O146" s="843"/>
      <c r="P146" s="843"/>
      <c r="Q146" s="843"/>
      <c r="R146" s="843"/>
      <c r="S146" s="843"/>
      <c r="T146" s="843"/>
      <c r="U146" s="843"/>
      <c r="V146" s="843"/>
      <c r="W146" s="843"/>
      <c r="X146" s="843"/>
      <c r="Y146" s="1000"/>
      <c r="Z146" s="846"/>
      <c r="AA146" s="849"/>
      <c r="AB146" s="846"/>
      <c r="AC146" s="846"/>
      <c r="AD146" s="846"/>
    </row>
    <row customHeight="1" ht="9">
      <c r="A147" s="845"/>
      <c r="B147" s="845"/>
      <c r="C147" s="845"/>
      <c r="D147" s="845"/>
      <c r="E147" s="845"/>
      <c r="F147" s="845"/>
      <c r="G147" s="845"/>
      <c r="H147" s="845"/>
      <c r="I147" s="845"/>
      <c r="J147" s="845"/>
      <c r="K147" s="845"/>
      <c r="L147" s="845"/>
      <c r="M147" s="845"/>
      <c r="N147" s="845"/>
      <c r="O147" s="845"/>
      <c r="P147" s="845"/>
      <c r="Q147" s="845"/>
      <c r="R147" s="845"/>
      <c r="S147" s="845"/>
      <c r="T147" s="845"/>
      <c r="U147" s="845"/>
      <c r="V147" s="845"/>
      <c r="W147" s="845"/>
      <c r="X147" s="845"/>
      <c r="Y147" s="845"/>
      <c r="Z147" s="845"/>
      <c r="AA147" s="845"/>
      <c r="AB147" s="845"/>
      <c r="AC147" s="845"/>
      <c r="AD147" s="845"/>
    </row>
    <row customHeight="1" ht="90">
      <c r="A148" s="845" t="s">
        <v>1660</v>
      </c>
      <c r="B148" s="845"/>
      <c r="C148" s="843" t="s">
        <v>2222</v>
      </c>
      <c r="D148" s="843" t="s">
        <v>1562</v>
      </c>
      <c r="E148" s="843" t="s">
        <v>1662</v>
      </c>
      <c r="F148" s="843" t="s">
        <v>2223</v>
      </c>
      <c r="G148" s="843"/>
      <c r="H148" s="843"/>
      <c r="I148" s="963"/>
      <c r="J148" s="963"/>
      <c r="K148" s="963"/>
      <c r="L148" s="963"/>
      <c r="M148" s="893" t="str">
        <f>IF(TEMPLATE_SPHERE="HEAT",T148,IF(TEMPLATE_SPHERE="TKO",X148,U148))</f>
        <v>Сведения об условиях публичных договоров регулируемых организаций,  сведения об условиях публичных договоров, заключаемых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в том числе</v>
      </c>
      <c r="N148" s="848"/>
      <c r="O148" s="843"/>
      <c r="P148" s="844"/>
      <c r="Q148" s="844"/>
      <c r="R148" s="844"/>
      <c r="S148" s="843"/>
      <c r="T148" s="843" t="s">
        <v>2224</v>
      </c>
      <c r="U148" s="844" t="str">
        <f>"Сведения об условиях публичных договоров поставок товаров (оказания услуг), тарифы на которые подлежат регулированию, в том числе договоров о подключении (технологическом присоединении) к централизованной системе "&amp;TEMPLATE_SPHERE_RUS</f>
        <v>Сведения об условиях публичных договоров поставок товаров (оказания услуг), тарифы на которые подлежат регулированию, в том числе договоров о подключении (технологическом присоединении) к централизованной системе теплоснабжения</v>
      </c>
      <c r="V148" s="844"/>
      <c r="W148" s="844"/>
      <c r="X148" s="843" t="s">
        <v>2225</v>
      </c>
      <c r="Y148" s="1000"/>
      <c r="Z148" s="846"/>
      <c r="AA148" s="849"/>
      <c r="AB148" s="846"/>
      <c r="AC148" s="846"/>
      <c r="AD148" s="846"/>
    </row>
    <row customHeight="1" ht="9">
      <c r="A149" s="845"/>
      <c r="B149" s="845"/>
      <c r="C149" s="845"/>
      <c r="D149" s="845"/>
      <c r="E149" s="845"/>
      <c r="F149" s="845"/>
      <c r="G149" s="845"/>
      <c r="H149" s="845"/>
      <c r="I149" s="845"/>
      <c r="J149" s="845"/>
      <c r="K149" s="845"/>
      <c r="L149" s="845"/>
      <c r="M149" s="845"/>
      <c r="N149" s="845"/>
      <c r="O149" s="845"/>
      <c r="P149" s="845"/>
      <c r="Q149" s="845"/>
      <c r="R149" s="845"/>
      <c r="S149" s="845"/>
      <c r="T149" s="845"/>
      <c r="U149" s="845"/>
      <c r="V149" s="845"/>
      <c r="W149" s="845"/>
      <c r="X149" s="845"/>
      <c r="Y149" s="845"/>
      <c r="Z149" s="845"/>
      <c r="AA149" s="845"/>
      <c r="AB149" s="845"/>
      <c r="AC149" s="845"/>
      <c r="AD149" s="845"/>
    </row>
    <row customHeight="1" ht="9">
      <c r="A150" s="845" t="s">
        <v>1664</v>
      </c>
      <c r="B150" s="845"/>
      <c r="C150" s="843"/>
      <c r="D150" s="843"/>
      <c r="E150" s="843"/>
      <c r="F150" s="843"/>
      <c r="G150" s="843"/>
      <c r="H150" s="843"/>
      <c r="I150" s="843"/>
      <c r="J150" s="843"/>
      <c r="K150" s="843"/>
      <c r="L150" s="843"/>
      <c r="M150" s="843"/>
      <c r="N150" s="843"/>
      <c r="O150" s="843"/>
      <c r="P150" s="843"/>
      <c r="Q150" s="843"/>
      <c r="R150" s="843"/>
      <c r="S150" s="843"/>
      <c r="T150" s="843"/>
      <c r="U150" s="843"/>
      <c r="V150" s="843"/>
      <c r="W150" s="843"/>
      <c r="X150" s="843"/>
      <c r="Y150" s="1000"/>
      <c r="Z150" s="846"/>
      <c r="AA150" s="849"/>
      <c r="AB150" s="846"/>
      <c r="AC150" s="846"/>
      <c r="AD150" s="846"/>
    </row>
    <row customHeight="1" ht="9">
      <c r="A151" s="845"/>
      <c r="B151" s="845"/>
      <c r="C151" s="845"/>
      <c r="D151" s="845"/>
      <c r="E151" s="845"/>
      <c r="F151" s="845"/>
      <c r="G151" s="845"/>
      <c r="H151" s="845"/>
      <c r="I151" s="845"/>
      <c r="J151" s="845"/>
      <c r="K151" s="845"/>
      <c r="L151" s="845"/>
      <c r="M151" s="845"/>
      <c r="N151" s="845"/>
      <c r="O151" s="845"/>
      <c r="P151" s="845"/>
      <c r="Q151" s="845"/>
      <c r="R151" s="845"/>
      <c r="S151" s="845"/>
      <c r="T151" s="845"/>
      <c r="U151" s="845"/>
      <c r="V151" s="845"/>
      <c r="W151" s="845"/>
      <c r="X151" s="845"/>
      <c r="Y151" s="845"/>
      <c r="Z151" s="845"/>
      <c r="AA151" s="845"/>
      <c r="AB151" s="845"/>
      <c r="AC151" s="845"/>
      <c r="AD151" s="845"/>
    </row>
    <row customHeight="1" ht="9">
      <c r="A152" s="845" t="s">
        <v>1667</v>
      </c>
      <c r="B152" s="845"/>
      <c r="C152" s="843"/>
      <c r="D152" s="843"/>
      <c r="E152" s="843"/>
      <c r="F152" s="843"/>
      <c r="G152" s="843"/>
      <c r="H152" s="843"/>
      <c r="I152" s="843"/>
      <c r="J152" s="843"/>
      <c r="K152" s="843"/>
      <c r="L152" s="843"/>
      <c r="M152" s="843"/>
      <c r="N152" s="843"/>
      <c r="O152" s="843"/>
      <c r="P152" s="843"/>
      <c r="Q152" s="843"/>
      <c r="R152" s="843"/>
      <c r="S152" s="843"/>
      <c r="T152" s="843"/>
      <c r="U152" s="843"/>
      <c r="V152" s="843"/>
      <c r="W152" s="843"/>
      <c r="X152" s="843"/>
      <c r="Y152" s="1000"/>
      <c r="Z152" s="846"/>
      <c r="AA152" s="849"/>
      <c r="AB152" s="846"/>
      <c r="AC152" s="846"/>
      <c r="AD152" s="846"/>
    </row>
    <row customHeight="1" ht="9">
      <c r="A153" s="845"/>
      <c r="B153" s="845"/>
      <c r="C153" s="845"/>
      <c r="D153" s="845"/>
      <c r="E153" s="845"/>
      <c r="F153" s="845"/>
      <c r="G153" s="845"/>
      <c r="H153" s="845"/>
      <c r="I153" s="845"/>
      <c r="J153" s="845"/>
      <c r="K153" s="845"/>
      <c r="L153" s="845"/>
      <c r="M153" s="845"/>
      <c r="N153" s="845"/>
      <c r="O153" s="845"/>
      <c r="P153" s="845"/>
      <c r="Q153" s="845"/>
      <c r="R153" s="845"/>
      <c r="S153" s="845"/>
      <c r="T153" s="845"/>
      <c r="U153" s="845"/>
      <c r="V153" s="845"/>
      <c r="W153" s="845"/>
      <c r="X153" s="845"/>
      <c r="Y153" s="845"/>
      <c r="Z153" s="845"/>
      <c r="AA153" s="845"/>
      <c r="AB153" s="845"/>
      <c r="AC153" s="845"/>
      <c r="AD153" s="845"/>
    </row>
    <row customHeight="1" ht="9">
      <c r="A154" s="845" t="s">
        <v>1672</v>
      </c>
      <c r="B154" s="845"/>
      <c r="C154" s="843"/>
      <c r="D154" s="843"/>
      <c r="E154" s="843"/>
      <c r="F154" s="843"/>
      <c r="G154" s="843"/>
      <c r="H154" s="843"/>
      <c r="I154" s="843"/>
      <c r="J154" s="843"/>
      <c r="K154" s="843"/>
      <c r="L154" s="843"/>
      <c r="M154" s="843"/>
      <c r="N154" s="843"/>
      <c r="O154" s="843"/>
      <c r="P154" s="843"/>
      <c r="Q154" s="843"/>
      <c r="R154" s="843"/>
      <c r="S154" s="843"/>
      <c r="T154" s="843"/>
      <c r="U154" s="843"/>
      <c r="V154" s="843"/>
      <c r="W154" s="843"/>
      <c r="X154" s="843"/>
      <c r="Y154" s="1000"/>
      <c r="Z154" s="846"/>
      <c r="AA154" s="849"/>
      <c r="AB154" s="846"/>
      <c r="AC154" s="846"/>
      <c r="AD154" s="846"/>
    </row>
  </sheetData>
  <sheetProtection sort="0" autoFilter="0" insertRows="0" insertColumns="1" deleteRows="0" deleteColumns="0"/>
  <mergeCells count="12">
    <mergeCell ref="T1:X1"/>
    <mergeCell ref="Z1:AD1"/>
    <mergeCell ref="A11:A15"/>
    <mergeCell ref="H13:H14"/>
    <mergeCell ref="H15:H16"/>
    <mergeCell ref="C3:F3"/>
    <mergeCell ref="C11:C16"/>
    <mergeCell ref="D11:D16"/>
    <mergeCell ref="E11:E16"/>
    <mergeCell ref="F11:F16"/>
    <mergeCell ref="G11:G16"/>
    <mergeCell ref="O1:S1"/>
  </mergeCell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legacyDrawing r:id="rId2"/>
</worksheet>
</file>

<file path=xl/worksheets/sheet6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AB72E24-5715-31A9-D5B7-FA1C61E3D812}" mc:Ignorable="x14ac xr xr2 xr3">
  <sheetPr>
    <tabColor theme="6" tint="0.4"/>
  </sheetPr>
  <dimension ref="A1:AD41"/>
  <sheetViews>
    <sheetView topLeftCell="I4" showGridLines="0" workbookViewId="0">
      <selection activeCell="A1" sqref="A1"/>
    </sheetView>
  </sheetViews>
  <sheetFormatPr defaultColWidth="10.57421875" customHeight="1" defaultRowHeight="14.25"/>
  <cols>
    <col min="1" max="1" style="1366" width="10.57421875" hidden="1"/>
    <col min="2" max="2" style="1366" width="11.00390625" hidden="1" customWidth="1"/>
    <col min="3" max="3" style="1366" width="10.57421875" hidden="1"/>
    <col min="4" max="4" style="1366" width="11.8515625" hidden="1" customWidth="1"/>
    <col min="5" max="5" style="1366" width="12.28125" hidden="1" customWidth="1"/>
    <col min="6" max="8" style="1776" width="12.28125" hidden="1" customWidth="1"/>
    <col min="9" max="9" style="2397" width="3.00390625" customWidth="1"/>
    <col min="10" max="11" style="344" width="3.00390625" customWidth="1"/>
    <col min="12" max="12" style="2407" width="12.00390625" customWidth="1"/>
    <col min="13" max="13" style="1635" width="31.00390625" customWidth="1"/>
    <col min="14" max="14" style="1635" width="1.00390625" customWidth="1"/>
    <col min="15" max="18" style="1635" width="24.00390625" customWidth="1"/>
    <col min="19" max="19" style="1635" width="11.00390625" customWidth="1"/>
    <col min="20" max="20" style="1635" width="3.7109375" customWidth="1"/>
    <col min="21" max="21" style="1635" width="11.00390625" customWidth="1"/>
    <col min="22" max="22" style="1635" width="8.57421875" customWidth="1"/>
    <col min="23" max="23" style="1635" width="4.00390625" customWidth="1"/>
    <col min="24" max="24" style="1635" width="115.00390625" customWidth="1"/>
    <col min="25" max="29" style="1642" width="10.00390625" customWidth="1"/>
    <col min="30" max="30" style="1635" width="10.57421875" hidden="1"/>
  </cols>
  <sheetData>
    <row customHeight="1" ht="22.5" hidden="1">
      <c r="R1" s="327"/>
      <c r="S1" s="327"/>
      <c r="AD1" s="1155" t="s">
        <v>14</v>
      </c>
    </row>
    <row customHeight="1" ht="14.25" hidden="1">
      <c r="V2" s="327"/>
      <c r="AD2" s="1155">
        <v>0</v>
      </c>
    </row>
    <row customHeight="1" ht="14.25" hidden="1">
      <c r="AD3" s="1155">
        <v>0</v>
      </c>
    </row>
    <row customHeight="1" ht="14.699999999999998">
      <c r="J4" s="376"/>
      <c r="K4" s="376"/>
      <c r="L4" s="1275"/>
      <c r="M4" s="363"/>
      <c r="N4" s="363"/>
      <c r="O4" s="509"/>
      <c r="P4" s="509"/>
      <c r="Q4" s="509"/>
      <c r="R4" s="509"/>
      <c r="S4" s="509"/>
      <c r="T4" s="509"/>
      <c r="U4" s="509"/>
      <c r="V4" s="509"/>
      <c r="AD4" s="1155">
        <v>14</v>
      </c>
    </row>
    <row customHeight="1" ht="67.2">
      <c r="J5" s="376"/>
      <c r="K5" s="376"/>
      <c r="L5" s="2603" t="s">
        <v>2226</v>
      </c>
      <c r="M5" s="2603"/>
      <c r="N5" s="2603"/>
      <c r="O5" s="2603"/>
      <c r="P5" s="2603"/>
      <c r="Q5" s="2603"/>
      <c r="R5" s="2603"/>
      <c r="S5" s="2603"/>
      <c r="T5" s="2603"/>
      <c r="U5" s="2603"/>
      <c r="V5" s="1243"/>
      <c r="AD5" s="1155">
        <v>64</v>
      </c>
    </row>
    <row customHeight="1" ht="14.699999999999998">
      <c r="J6" s="376"/>
      <c r="K6" s="376"/>
      <c r="L6" s="2604" t="str">
        <f>IF(org=0,"Не определено",org)</f>
        <v>ПАО "ОГК-2"</v>
      </c>
      <c r="M6" s="2604"/>
      <c r="N6" s="2604"/>
      <c r="O6" s="2604"/>
      <c r="P6" s="2604"/>
      <c r="Q6" s="2604"/>
      <c r="R6" s="2604"/>
      <c r="S6" s="2604"/>
      <c r="T6" s="2604"/>
      <c r="U6" s="2604"/>
      <c r="V6" s="1243"/>
      <c r="AD6" s="1155">
        <v>14</v>
      </c>
    </row>
    <row customHeight="1" ht="14.699999999999998">
      <c r="J7" s="376"/>
      <c r="K7" s="376"/>
      <c r="L7" s="1275"/>
      <c r="M7" s="363"/>
      <c r="N7" s="363"/>
      <c r="O7" s="322"/>
      <c r="P7" s="322"/>
      <c r="Q7" s="322"/>
      <c r="R7" s="322"/>
      <c r="S7" s="322"/>
      <c r="T7" s="322"/>
      <c r="U7" s="322"/>
      <c r="V7" s="322"/>
      <c r="W7" s="509"/>
      <c r="AD7" s="1155">
        <v>14</v>
      </c>
    </row>
    <row s="1853" customFormat="1" customHeight="1" ht="48.29999999999999">
      <c r="A8" s="1368"/>
      <c r="B8" s="1368"/>
      <c r="C8" s="1368"/>
      <c r="D8" s="1368"/>
      <c r="E8" s="1368"/>
      <c r="F8" s="1368"/>
      <c r="G8" s="1368"/>
      <c r="H8" s="1368"/>
      <c r="L8" s="1276"/>
      <c r="M8" s="295" t="s">
        <v>42</v>
      </c>
      <c r="N8" s="304"/>
      <c r="O8" s="2251" t="str">
        <f>IF(TITLE_NAME_OR_PR_CHANGE="",IF(TITLE_NAME_OR_PR="","",TITLE_NAME_OR_PR),TITLE_NAME_OR_PR_CHANGE)</f>
        <v/>
      </c>
      <c r="P8" s="2251"/>
      <c r="Q8" s="2251"/>
      <c r="R8" s="2251"/>
      <c r="S8" s="2251"/>
      <c r="T8" s="2251"/>
      <c r="U8" s="2251"/>
      <c r="V8" s="326"/>
      <c r="W8" s="326"/>
      <c r="X8" s="280"/>
      <c r="Y8" s="368"/>
      <c r="Z8" s="368"/>
      <c r="AA8" s="368"/>
      <c r="AB8" s="368"/>
      <c r="AC8" s="368"/>
      <c r="AD8" s="418">
        <v>46</v>
      </c>
    </row>
    <row s="1853" customFormat="1" customHeight="1" ht="24">
      <c r="A9" s="1368"/>
      <c r="B9" s="1368"/>
      <c r="C9" s="1368"/>
      <c r="D9" s="1368"/>
      <c r="E9" s="1368"/>
      <c r="F9" s="1368"/>
      <c r="G9" s="1368"/>
      <c r="H9" s="1368"/>
      <c r="L9" s="1276"/>
      <c r="M9" s="295" t="s">
        <v>425</v>
      </c>
      <c r="N9" s="304"/>
      <c r="O9" s="2251" t="str">
        <f>IF(TITLE_DATE_CHANGE_PERIOD="",IF(TITLE_DATE_PR="","",TITLE_DATE_PR),TITLE_DATE_CHANGE_PERIOD)</f>
        <v/>
      </c>
      <c r="P9" s="2251"/>
      <c r="Q9" s="2251"/>
      <c r="R9" s="2251"/>
      <c r="S9" s="2251"/>
      <c r="T9" s="2251"/>
      <c r="U9" s="2251"/>
      <c r="V9" s="326"/>
      <c r="W9" s="326"/>
      <c r="X9" s="280"/>
      <c r="Y9" s="368"/>
      <c r="Z9" s="368"/>
      <c r="AA9" s="368"/>
      <c r="AB9" s="368"/>
      <c r="AC9" s="368"/>
      <c r="AD9" s="418">
        <v>23</v>
      </c>
    </row>
    <row s="1853" customFormat="1" customHeight="1" ht="24">
      <c r="A10" s="1368"/>
      <c r="B10" s="1368"/>
      <c r="C10" s="1368"/>
      <c r="D10" s="1368"/>
      <c r="E10" s="1368"/>
      <c r="F10" s="1368"/>
      <c r="G10" s="1368"/>
      <c r="H10" s="1368"/>
      <c r="L10" s="1250"/>
      <c r="M10" s="295" t="s">
        <v>426</v>
      </c>
      <c r="N10" s="304"/>
      <c r="O10" s="2251" t="str">
        <f>IF(TITLE_NUMBER_PR_CHANGE="",IF(TITLE_NUMBER_PR="","",TITLE_NUMBER_PR),TITLE_NUMBER_PR_CHANGE)</f>
        <v/>
      </c>
      <c r="P10" s="2251"/>
      <c r="Q10" s="2251"/>
      <c r="R10" s="2251"/>
      <c r="S10" s="2251"/>
      <c r="T10" s="2251"/>
      <c r="U10" s="2251"/>
      <c r="V10" s="326"/>
      <c r="W10" s="326"/>
      <c r="X10" s="280"/>
      <c r="Y10" s="368"/>
      <c r="Z10" s="368"/>
      <c r="AA10" s="368"/>
      <c r="AB10" s="368"/>
      <c r="AC10" s="368"/>
      <c r="AD10" s="418">
        <v>23</v>
      </c>
    </row>
    <row s="1853" customFormat="1" customHeight="1" ht="24">
      <c r="A11" s="1368"/>
      <c r="B11" s="1368"/>
      <c r="C11" s="1368"/>
      <c r="D11" s="1368"/>
      <c r="E11" s="1368"/>
      <c r="F11" s="1368"/>
      <c r="G11" s="1368"/>
      <c r="H11" s="1368"/>
      <c r="L11" s="1250"/>
      <c r="M11" s="295" t="s">
        <v>43</v>
      </c>
      <c r="N11" s="304"/>
      <c r="O11" s="2251" t="str">
        <f>IF(TITLE_IST_PUB_CHANGE="",IF(TITLE_IST_PUB="","",TITLE_IST_PUB),TITLE_IST_PUB_CHANGE)</f>
        <v/>
      </c>
      <c r="P11" s="2251"/>
      <c r="Q11" s="2251"/>
      <c r="R11" s="2251"/>
      <c r="S11" s="2251"/>
      <c r="T11" s="2251"/>
      <c r="U11" s="2251"/>
      <c r="V11" s="326"/>
      <c r="W11" s="326"/>
      <c r="X11" s="280"/>
      <c r="Y11" s="368"/>
      <c r="Z11" s="368"/>
      <c r="AA11" s="368"/>
      <c r="AB11" s="368"/>
      <c r="AC11" s="368"/>
      <c r="AD11" s="418">
        <v>23</v>
      </c>
    </row>
    <row s="1853" customFormat="1" customHeight="1" ht="11.25" hidden="1">
      <c r="A12" s="1368"/>
      <c r="B12" s="1368"/>
      <c r="C12" s="1368"/>
      <c r="D12" s="1368"/>
      <c r="E12" s="1368"/>
      <c r="F12" s="1368"/>
      <c r="G12" s="1368"/>
      <c r="H12" s="1368"/>
      <c r="L12" s="2605"/>
      <c r="M12" s="2605"/>
      <c r="N12" s="1287"/>
      <c r="O12" s="326"/>
      <c r="P12" s="326"/>
      <c r="Q12" s="326"/>
      <c r="R12" s="326"/>
      <c r="S12" s="326"/>
      <c r="T12" s="326"/>
      <c r="U12" s="326"/>
      <c r="V12" s="278" t="s">
        <v>429</v>
      </c>
      <c r="Y12" s="368"/>
      <c r="Z12" s="368"/>
      <c r="AA12" s="368"/>
      <c r="AB12" s="368"/>
      <c r="AC12" s="368"/>
      <c r="AD12" s="418">
        <v>0</v>
      </c>
    </row>
    <row customHeight="1" ht="14.699999999999998">
      <c r="J13" s="376"/>
      <c r="K13" s="376"/>
      <c r="L13" s="1275"/>
      <c r="M13" s="363"/>
      <c r="N13" s="1244"/>
      <c r="O13" s="2252"/>
      <c r="P13" s="2252"/>
      <c r="Q13" s="2252"/>
      <c r="R13" s="2252"/>
      <c r="S13" s="2252"/>
      <c r="T13" s="2252"/>
      <c r="U13" s="2252"/>
      <c r="V13" s="2252"/>
      <c r="AD13" s="1155">
        <v>14</v>
      </c>
    </row>
    <row customHeight="1" ht="14.699999999999998">
      <c r="J14" s="376"/>
      <c r="K14" s="376"/>
      <c r="L14" s="2127" t="s">
        <v>302</v>
      </c>
      <c r="M14" s="2127"/>
      <c r="N14" s="2127"/>
      <c r="O14" s="2127"/>
      <c r="P14" s="2127"/>
      <c r="Q14" s="2127"/>
      <c r="R14" s="2127"/>
      <c r="S14" s="2127"/>
      <c r="T14" s="2127"/>
      <c r="U14" s="2127"/>
      <c r="V14" s="2127"/>
      <c r="W14" s="2127"/>
      <c r="X14" s="2127" t="s">
        <v>303</v>
      </c>
      <c r="AD14" s="1155">
        <v>14</v>
      </c>
    </row>
    <row customHeight="1" ht="14.699999999999998">
      <c r="J15" s="376"/>
      <c r="K15" s="376"/>
      <c r="L15" s="2273" t="s">
        <v>88</v>
      </c>
      <c r="M15" s="2209" t="s">
        <v>430</v>
      </c>
      <c r="N15" s="301"/>
      <c r="O15" s="2274" t="s">
        <v>2227</v>
      </c>
      <c r="P15" s="2275"/>
      <c r="Q15" s="2275"/>
      <c r="R15" s="2275"/>
      <c r="S15" s="2275"/>
      <c r="T15" s="2275"/>
      <c r="U15" s="2276"/>
      <c r="V15" s="2277" t="s">
        <v>432</v>
      </c>
      <c r="W15" s="2280" t="s">
        <v>1148</v>
      </c>
      <c r="X15" s="2127"/>
      <c r="AD15" s="1155">
        <v>14</v>
      </c>
    </row>
    <row customHeight="1" ht="35.699999999999996">
      <c r="J16" s="376"/>
      <c r="K16" s="376"/>
      <c r="L16" s="2273"/>
      <c r="M16" s="2209"/>
      <c r="N16" s="1031"/>
      <c r="O16" s="2260" t="s">
        <v>435</v>
      </c>
      <c r="P16" s="2260" t="s">
        <v>436</v>
      </c>
      <c r="Q16" s="2262" t="s">
        <v>437</v>
      </c>
      <c r="R16" s="2263"/>
      <c r="S16" s="2262" t="s">
        <v>451</v>
      </c>
      <c r="T16" s="2269"/>
      <c r="U16" s="2263"/>
      <c r="V16" s="2278"/>
      <c r="W16" s="2281"/>
      <c r="X16" s="2127"/>
      <c r="AD16" s="1155">
        <v>34</v>
      </c>
    </row>
    <row customHeight="1" ht="35.699999999999996">
      <c r="A17" s="1370" t="s">
        <v>138</v>
      </c>
      <c r="B17" s="1370" t="s">
        <v>139</v>
      </c>
      <c r="C17" s="1370" t="s">
        <v>140</v>
      </c>
      <c r="D17" s="1370" t="s">
        <v>141</v>
      </c>
      <c r="E17" s="1370"/>
      <c r="J17" s="376"/>
      <c r="K17" s="376"/>
      <c r="L17" s="2273"/>
      <c r="M17" s="2209"/>
      <c r="N17" s="302"/>
      <c r="O17" s="2261"/>
      <c r="P17" s="2261"/>
      <c r="Q17" s="1222" t="s">
        <v>446</v>
      </c>
      <c r="R17" s="1222" t="s">
        <v>447</v>
      </c>
      <c r="S17" s="1292" t="s">
        <v>448</v>
      </c>
      <c r="T17" s="2270" t="s">
        <v>449</v>
      </c>
      <c r="U17" s="2271"/>
      <c r="V17" s="2279"/>
      <c r="W17" s="2282"/>
      <c r="X17" s="2127"/>
      <c r="AD17" s="1155">
        <v>34</v>
      </c>
    </row>
    <row s="1641" customFormat="1" customHeight="1" ht="11.549999999999999">
      <c r="A18" s="1370"/>
      <c r="B18" s="1370"/>
      <c r="C18" s="1370"/>
      <c r="D18" s="1370"/>
      <c r="E18" s="1370"/>
      <c r="F18" s="1362"/>
      <c r="G18" s="1362"/>
      <c r="H18" s="1362"/>
      <c r="I18" s="1246"/>
      <c r="J18" s="1247"/>
      <c r="K18" s="1254">
        <v>1</v>
      </c>
      <c r="L18" s="1277" t="s">
        <v>109</v>
      </c>
      <c r="M18" s="1255" t="s">
        <v>110</v>
      </c>
      <c r="N18" s="1245" t="str">
        <f>OFFSET(N18,0,-1)</f>
        <v>2</v>
      </c>
      <c r="O18" s="1289">
        <f>OFFSET(O18,0,-1)+1</f>
        <v>3</v>
      </c>
      <c r="P18" s="1289"/>
      <c r="Q18" s="1289">
        <f>OFFSET(Q18,0,-1)+1</f>
        <v>1</v>
      </c>
      <c r="R18" s="1289">
        <f>OFFSET(R18,0,-1)+1</f>
        <v>2</v>
      </c>
      <c r="S18" s="1289">
        <f>OFFSET(S18,0,-1)+1</f>
        <v>3</v>
      </c>
      <c r="T18" s="2272">
        <f>OFFSET(T18,0,-1)+1</f>
        <v>4</v>
      </c>
      <c r="U18" s="2272"/>
      <c r="V18" s="1289">
        <f>OFFSET(V18,0,-2)+1</f>
        <v>5</v>
      </c>
      <c r="W18" s="1245">
        <f>OFFSET(W18,0,-1)</f>
        <v>5</v>
      </c>
      <c r="X18" s="1289">
        <f>OFFSET(X18,0,-1)+1</f>
        <v>6</v>
      </c>
      <c r="Y18" s="511"/>
      <c r="Z18" s="511"/>
      <c r="AA18" s="511"/>
      <c r="AB18" s="511"/>
      <c r="AC18" s="511"/>
      <c r="AD18" s="496">
        <v>11</v>
      </c>
    </row>
    <row customHeight="1" ht="21">
      <c r="A19" s="1363" t="s">
        <v>172</v>
      </c>
      <c r="B19" s="1363" t="s">
        <v>173</v>
      </c>
      <c r="C19" s="1363" t="s">
        <v>174</v>
      </c>
      <c r="D19" s="1363" t="s">
        <v>175</v>
      </c>
      <c r="E19" s="1363"/>
      <c r="F19" s="1365"/>
      <c r="G19" s="1365"/>
      <c r="H19" s="1365"/>
      <c r="I19" s="361"/>
      <c r="J19" s="360"/>
      <c r="K19" s="355"/>
      <c r="L19" s="1293">
        <f>INDEX(PT_DIFFERENTIATION_NUM_NTAR,MATCH(A19,PT_DIFFERENTIATION_NTAR_ID,0))</f>
        <v>0</v>
      </c>
      <c r="M19" s="298" t="s">
        <v>127</v>
      </c>
      <c r="N19" s="300"/>
      <c r="O19" s="2606" t="str">
        <f>INDEX(PT_DIFFERENTIATION_NTAR,MATCH(A19,PT_DIFFERENTIATION_NTAR_ID,0))</f>
        <v/>
      </c>
      <c r="P19" s="2606"/>
      <c r="Q19" s="2606"/>
      <c r="R19" s="2606"/>
      <c r="S19" s="2606"/>
      <c r="T19" s="2606"/>
      <c r="U19" s="2606"/>
      <c r="V19" s="2606"/>
      <c r="W19" s="2606"/>
      <c r="X19" s="1258" t="s">
        <v>398</v>
      </c>
      <c r="Z19" s="500"/>
      <c r="AA19" s="500" t="str">
        <f>IF(M19="","",M19)</f>
        <v>Наименование тарифа</v>
      </c>
      <c r="AB19" s="500"/>
      <c r="AC19" s="500"/>
      <c r="AD19" s="1155">
        <v>20</v>
      </c>
    </row>
    <row customHeight="1" ht="21">
      <c r="A20" s="1363" t="s">
        <v>172</v>
      </c>
      <c r="B20" s="1363" t="s">
        <v>173</v>
      </c>
      <c r="C20" s="1363" t="s">
        <v>174</v>
      </c>
      <c r="D20" s="1363" t="s">
        <v>175</v>
      </c>
      <c r="E20" s="1363"/>
      <c r="F20" s="1365"/>
      <c r="G20" s="1365"/>
      <c r="H20" s="1365"/>
      <c r="I20" s="1290"/>
      <c r="J20" s="352"/>
      <c r="K20" s="353"/>
      <c r="L20" s="1293" t="str">
        <f>INDEX(PT_DIFFERENTIATION_NUM_TER,MATCH(B19,PT_DIFFERENTIATION_TER_ID,0))</f>
        <v>.</v>
      </c>
      <c r="M20" s="308" t="s">
        <v>399</v>
      </c>
      <c r="N20" s="300"/>
      <c r="O20" s="2606" t="str">
        <f>INDEX(PT_DIFFERENTIATION_TER,MATCH(B19,PT_DIFFERENTIATION_TER_ID,0))</f>
        <v/>
      </c>
      <c r="P20" s="2606"/>
      <c r="Q20" s="2606"/>
      <c r="R20" s="2606"/>
      <c r="S20" s="2606"/>
      <c r="T20" s="2606"/>
      <c r="U20" s="2606"/>
      <c r="V20" s="2606"/>
      <c r="W20" s="2606"/>
      <c r="X20" s="1258" t="s">
        <v>400</v>
      </c>
      <c r="Z20" s="500"/>
      <c r="AA20" s="500" t="str">
        <f>IF(M20="","",M20)</f>
        <v>Территория действия тарифа</v>
      </c>
      <c r="AB20" s="500"/>
      <c r="AC20" s="500"/>
      <c r="AD20" s="1155">
        <v>20</v>
      </c>
    </row>
    <row customHeight="1" ht="24">
      <c r="A21" s="1363" t="s">
        <v>172</v>
      </c>
      <c r="B21" s="1363" t="s">
        <v>173</v>
      </c>
      <c r="C21" s="1363" t="s">
        <v>174</v>
      </c>
      <c r="D21" s="1363" t="s">
        <v>175</v>
      </c>
      <c r="E21" s="1363"/>
      <c r="F21" s="1365"/>
      <c r="G21" s="1365"/>
      <c r="H21" s="1365"/>
      <c r="I21" s="354"/>
      <c r="J21" s="352"/>
      <c r="K21" s="353"/>
      <c r="L21" s="1293" t="str">
        <f>INDEX(PT_DIFFERENTIATION_NUM_CS,MATCH(C19,PT_DIFFERENTIATION_CS_ID,0))</f>
        <v>..</v>
      </c>
      <c r="M21" s="309" t="s">
        <v>401</v>
      </c>
      <c r="N21" s="300"/>
      <c r="O21" s="2606" t="str">
        <f>INDEX(PT_DIFFERENTIATION_CS,MATCH(C19,PT_DIFFERENTIATION_CS_ID,0))</f>
        <v/>
      </c>
      <c r="P21" s="2606"/>
      <c r="Q21" s="2606"/>
      <c r="R21" s="2606"/>
      <c r="S21" s="2606"/>
      <c r="T21" s="2606"/>
      <c r="U21" s="2606"/>
      <c r="V21" s="2606"/>
      <c r="W21" s="2606"/>
      <c r="X21" s="1258" t="s">
        <v>402</v>
      </c>
      <c r="Z21" s="500"/>
      <c r="AA21" s="500" t="str">
        <f>IF(M21="","",M21)</f>
        <v>Наименование системы теплоснабжения </v>
      </c>
      <c r="AB21" s="500"/>
      <c r="AC21" s="500"/>
      <c r="AD21" s="1155">
        <v>23</v>
      </c>
    </row>
    <row customHeight="1" ht="21">
      <c r="A22" s="1363" t="s">
        <v>172</v>
      </c>
      <c r="B22" s="1363" t="s">
        <v>173</v>
      </c>
      <c r="C22" s="1363" t="s">
        <v>174</v>
      </c>
      <c r="D22" s="1363" t="s">
        <v>175</v>
      </c>
      <c r="E22" s="1363"/>
      <c r="F22" s="1365"/>
      <c r="G22" s="1365"/>
      <c r="H22" s="1365"/>
      <c r="I22" s="354"/>
      <c r="J22" s="352"/>
      <c r="K22" s="353"/>
      <c r="L22" s="1293" t="str">
        <f>INDEX(PT_DIFFERENTIATION_NUM_IST_TE,MATCH(D19,PT_DIFFERENTIATION_IST_TE_ID,0))</f>
        <v>...</v>
      </c>
      <c r="M22" s="310" t="s">
        <v>403</v>
      </c>
      <c r="N22" s="300"/>
      <c r="O22" s="2606" t="str">
        <f>INDEX(PT_DIFFERENTIATION_IST_TE,MATCH(D19,PT_DIFFERENTIATION_IST_TE_ID,0))</f>
        <v/>
      </c>
      <c r="P22" s="2606"/>
      <c r="Q22" s="2606"/>
      <c r="R22" s="2606"/>
      <c r="S22" s="2606"/>
      <c r="T22" s="2606"/>
      <c r="U22" s="2606"/>
      <c r="V22" s="2606"/>
      <c r="W22" s="2606"/>
      <c r="X22" s="1258" t="s">
        <v>404</v>
      </c>
      <c r="Z22" s="500"/>
      <c r="AA22" s="500" t="str">
        <f>IF(M22="","",M22)</f>
        <v>Источник тепловой энергии  </v>
      </c>
      <c r="AB22" s="500"/>
      <c r="AC22" s="500"/>
      <c r="AD22" s="1155">
        <v>20</v>
      </c>
    </row>
    <row customHeight="1" ht="96.75">
      <c r="A23" s="1363" t="s">
        <v>172</v>
      </c>
      <c r="B23" s="1363" t="s">
        <v>173</v>
      </c>
      <c r="C23" s="1363" t="s">
        <v>174</v>
      </c>
      <c r="D23" s="1363" t="s">
        <v>175</v>
      </c>
      <c r="E23" s="1363"/>
      <c r="F23" s="2607" t="str">
        <f>L22&amp;".1"</f>
        <v>....1</v>
      </c>
      <c r="I23" s="2257">
        <v>1</v>
      </c>
      <c r="J23" s="1291"/>
      <c r="K23" s="356"/>
      <c r="L23" s="1293" t="str">
        <f>$F$23</f>
        <v>....1</v>
      </c>
      <c r="M23" s="285" t="s">
        <v>406</v>
      </c>
      <c r="N23" s="300"/>
      <c r="O23" s="2305"/>
      <c r="P23" s="2305"/>
      <c r="Q23" s="2305"/>
      <c r="R23" s="2305"/>
      <c r="S23" s="2305"/>
      <c r="T23" s="2305"/>
      <c r="U23" s="2305"/>
      <c r="V23" s="2305"/>
      <c r="W23" s="2305"/>
      <c r="X23" s="1258" t="s">
        <v>407</v>
      </c>
      <c r="Z23" s="500"/>
      <c r="AA23" s="500" t="str">
        <f>IF(M23="","",M23)</f>
        <v>Схема подключения теплопотребляющей установки к коллектору источника тепловой энергии</v>
      </c>
      <c r="AB23" s="500"/>
      <c r="AC23" s="500"/>
      <c r="AD23" s="1155">
        <v>92</v>
      </c>
    </row>
    <row customHeight="1" ht="86.25">
      <c r="A24" s="1363" t="s">
        <v>172</v>
      </c>
      <c r="B24" s="1363" t="s">
        <v>173</v>
      </c>
      <c r="C24" s="1363" t="s">
        <v>174</v>
      </c>
      <c r="D24" s="1363" t="s">
        <v>175</v>
      </c>
      <c r="E24" s="1363"/>
      <c r="F24" s="2607"/>
      <c r="G24" s="2217" t="str">
        <f>F23&amp;".1"</f>
        <v>....1.1</v>
      </c>
      <c r="I24" s="2257"/>
      <c r="J24" s="2257">
        <v>1</v>
      </c>
      <c r="K24" s="357"/>
      <c r="L24" s="1293" t="str">
        <f>$G$24</f>
        <v>....1.1</v>
      </c>
      <c r="M24" s="286" t="s">
        <v>409</v>
      </c>
      <c r="N24" s="300"/>
      <c r="O24" s="2245"/>
      <c r="P24" s="2246"/>
      <c r="Q24" s="2246"/>
      <c r="R24" s="2246"/>
      <c r="S24" s="2246"/>
      <c r="T24" s="2246"/>
      <c r="U24" s="2246"/>
      <c r="V24" s="2246"/>
      <c r="W24" s="2247"/>
      <c r="X24" s="1258" t="s">
        <v>410</v>
      </c>
      <c r="Z24" s="500"/>
      <c r="AA24" s="500" t="str">
        <f>IF(M24="","",M24)</f>
        <v>Группа потребителей</v>
      </c>
      <c r="AB24" s="500"/>
      <c r="AC24" s="500"/>
      <c r="AD24" s="1155">
        <v>82</v>
      </c>
    </row>
    <row customHeight="1" ht="11.549999999999999">
      <c r="A25" s="1363" t="s">
        <v>172</v>
      </c>
      <c r="B25" s="1363" t="s">
        <v>173</v>
      </c>
      <c r="C25" s="1363" t="s">
        <v>174</v>
      </c>
      <c r="D25" s="1363" t="s">
        <v>175</v>
      </c>
      <c r="E25" s="1363"/>
      <c r="F25" s="2607"/>
      <c r="G25" s="2217"/>
      <c r="H25" s="2217" t="str">
        <f>G24&amp;".1"</f>
        <v>....1.1.1</v>
      </c>
      <c r="I25" s="2257"/>
      <c r="J25" s="2257"/>
      <c r="K25" s="357">
        <v>1</v>
      </c>
      <c r="L25" s="1293" t="str">
        <f>$H$25</f>
        <v>....1.1.1</v>
      </c>
      <c r="M25" s="1347"/>
      <c r="N25" s="300"/>
      <c r="O25" s="751"/>
      <c r="P25" s="325"/>
      <c r="Q25" s="751"/>
      <c r="R25" s="1257"/>
      <c r="S25" s="2602"/>
      <c r="T25" s="2107" t="s">
        <v>66</v>
      </c>
      <c r="U25" s="2602"/>
      <c r="V25" s="2107" t="s">
        <v>19</v>
      </c>
      <c r="W25" s="325"/>
      <c r="X25" s="2253" t="s">
        <v>412</v>
      </c>
      <c r="Y25" s="511">
        <f>STRCHECKDATE(O26:W26)</f>
      </c>
      <c r="Z25" s="500"/>
      <c r="AA25" s="500" t="str">
        <f>IF(M25="","",M25)</f>
        <v/>
      </c>
      <c r="AB25" s="500"/>
      <c r="AC25" s="500"/>
      <c r="AD25" s="1155">
        <v>11</v>
      </c>
    </row>
    <row customHeight="1" ht="11.549999999999999">
      <c r="A26" s="1363" t="s">
        <v>172</v>
      </c>
      <c r="B26" s="1363" t="s">
        <v>173</v>
      </c>
      <c r="C26" s="1363" t="s">
        <v>174</v>
      </c>
      <c r="D26" s="1363" t="s">
        <v>175</v>
      </c>
      <c r="E26" s="1363"/>
      <c r="F26" s="2607"/>
      <c r="G26" s="2217"/>
      <c r="H26" s="2217"/>
      <c r="I26" s="2257"/>
      <c r="J26" s="2257"/>
      <c r="K26" s="357"/>
      <c r="L26" s="1294"/>
      <c r="M26" s="300"/>
      <c r="N26" s="300"/>
      <c r="O26" s="325"/>
      <c r="P26" s="325"/>
      <c r="Q26" s="325"/>
      <c r="R26" s="328" t="str">
        <f>S25&amp;"-"&amp;U25</f>
        <v>-</v>
      </c>
      <c r="S26" s="2266"/>
      <c r="T26" s="2107"/>
      <c r="U26" s="2266"/>
      <c r="V26" s="2107"/>
      <c r="W26" s="325"/>
      <c r="X26" s="2254"/>
      <c r="Z26" s="500"/>
      <c r="AA26" s="500" t="str">
        <f>IF(M26="","",M26)</f>
        <v/>
      </c>
      <c r="AB26" s="500"/>
      <c r="AC26" s="500"/>
      <c r="AD26" s="1155">
        <v>11</v>
      </c>
    </row>
    <row customHeight="1" ht="15.75">
      <c r="A27" s="1363" t="s">
        <v>172</v>
      </c>
      <c r="B27" s="1363" t="s">
        <v>173</v>
      </c>
      <c r="C27" s="1363" t="s">
        <v>174</v>
      </c>
      <c r="D27" s="1363" t="s">
        <v>175</v>
      </c>
      <c r="E27" s="1363"/>
      <c r="F27" s="2607"/>
      <c r="G27" s="2217"/>
      <c r="I27" s="2257"/>
      <c r="J27" s="2257"/>
      <c r="K27" s="356"/>
      <c r="L27" s="1278"/>
      <c r="M27" s="288" t="s">
        <v>413</v>
      </c>
      <c r="N27" s="367"/>
      <c r="O27" s="367"/>
      <c r="P27" s="367"/>
      <c r="Q27" s="367"/>
      <c r="R27" s="367"/>
      <c r="S27" s="367"/>
      <c r="T27" s="367"/>
      <c r="U27" s="367"/>
      <c r="V27" s="367"/>
      <c r="W27" s="324"/>
      <c r="X27" s="2255"/>
      <c r="Z27" s="500"/>
      <c r="AA27" s="500" t="str">
        <f>IF(M27="","",M27)</f>
        <v>Добавить вид теплоносителя (параметры теплоносителя)</v>
      </c>
      <c r="AB27" s="500"/>
      <c r="AC27" s="500"/>
      <c r="AD27" s="1155">
        <v>15</v>
      </c>
    </row>
    <row customHeight="1" ht="15.75">
      <c r="A28" s="1363" t="s">
        <v>172</v>
      </c>
      <c r="B28" s="1363" t="s">
        <v>173</v>
      </c>
      <c r="C28" s="1363" t="s">
        <v>174</v>
      </c>
      <c r="D28" s="1363" t="s">
        <v>175</v>
      </c>
      <c r="E28" s="1363"/>
      <c r="F28" s="2607"/>
      <c r="I28" s="2257"/>
      <c r="J28" s="1291"/>
      <c r="K28" s="356"/>
      <c r="L28" s="1278"/>
      <c r="M28" s="287" t="s">
        <v>414</v>
      </c>
      <c r="N28" s="367"/>
      <c r="O28" s="367"/>
      <c r="P28" s="367"/>
      <c r="Q28" s="367"/>
      <c r="R28" s="367"/>
      <c r="S28" s="367"/>
      <c r="T28" s="367"/>
      <c r="U28" s="367"/>
      <c r="V28" s="366"/>
      <c r="W28" s="367"/>
      <c r="X28" s="303"/>
      <c r="Z28" s="500"/>
      <c r="AA28" s="500" t="str">
        <f>IF(M28="","",M28)</f>
        <v>Добавить группу потребителей</v>
      </c>
      <c r="AB28" s="500"/>
      <c r="AC28" s="500"/>
      <c r="AD28" s="1155">
        <v>15</v>
      </c>
    </row>
    <row customHeight="1" ht="14.699999999999998">
      <c r="A29" s="1363" t="s">
        <v>172</v>
      </c>
      <c r="B29" s="1363" t="s">
        <v>173</v>
      </c>
      <c r="C29" s="1363" t="s">
        <v>174</v>
      </c>
      <c r="D29" s="1363" t="s">
        <v>175</v>
      </c>
      <c r="E29" s="1363"/>
      <c r="F29" s="1365"/>
      <c r="G29" s="1365"/>
      <c r="H29" s="537"/>
      <c r="I29" s="360"/>
      <c r="J29" s="375"/>
      <c r="K29" s="355"/>
      <c r="L29" s="1278"/>
      <c r="M29" s="365" t="s">
        <v>415</v>
      </c>
      <c r="N29" s="367"/>
      <c r="O29" s="367"/>
      <c r="P29" s="367"/>
      <c r="Q29" s="367"/>
      <c r="R29" s="367"/>
      <c r="S29" s="367"/>
      <c r="T29" s="367"/>
      <c r="U29" s="367"/>
      <c r="V29" s="366"/>
      <c r="W29" s="367"/>
      <c r="X29" s="303"/>
      <c r="Z29" s="500"/>
      <c r="AA29" s="500" t="str">
        <f>IF(M29="","",M29)</f>
        <v>Добавить схему подключения</v>
      </c>
      <c r="AB29" s="500"/>
      <c r="AC29" s="500"/>
      <c r="AD29" s="1155">
        <v>14</v>
      </c>
    </row>
    <row customHeight="1" ht="14.699999999999998">
      <c r="A30" s="1363" t="s">
        <v>172</v>
      </c>
      <c r="B30" s="1363" t="s">
        <v>173</v>
      </c>
      <c r="C30" s="1363" t="s">
        <v>174</v>
      </c>
      <c r="D30" s="1363"/>
      <c r="E30" s="1363" t="s">
        <v>588</v>
      </c>
      <c r="F30" s="1365"/>
      <c r="G30" s="1365"/>
      <c r="H30" s="537"/>
      <c r="I30" s="360"/>
      <c r="J30" s="375"/>
      <c r="K30" s="355"/>
      <c r="L30" s="1279"/>
      <c r="M30" s="1268"/>
      <c r="N30" s="1269"/>
      <c r="O30" s="1269"/>
      <c r="P30" s="1269"/>
      <c r="Q30" s="1269"/>
      <c r="R30" s="1269"/>
      <c r="S30" s="1269"/>
      <c r="T30" s="1269"/>
      <c r="U30" s="1269"/>
      <c r="V30" s="1270"/>
      <c r="W30" s="1269"/>
      <c r="X30" s="1271"/>
      <c r="Z30" s="500"/>
      <c r="AA30" s="500" t="str">
        <f>IF(M30="","",M30)</f>
        <v/>
      </c>
      <c r="AB30" s="500"/>
      <c r="AC30" s="500"/>
      <c r="AD30" s="1155">
        <v>14</v>
      </c>
    </row>
    <row customHeight="1" ht="14.699999999999998">
      <c r="A31" s="1363" t="s">
        <v>172</v>
      </c>
      <c r="B31" s="1363" t="s">
        <v>173</v>
      </c>
      <c r="C31" s="1363"/>
      <c r="D31" s="1363"/>
      <c r="E31" s="1363" t="s">
        <v>2228</v>
      </c>
      <c r="F31" s="1517"/>
      <c r="G31" s="1517"/>
      <c r="H31" s="537"/>
      <c r="I31" s="358"/>
      <c r="J31" s="375"/>
      <c r="K31" s="359"/>
      <c r="L31" s="1279"/>
      <c r="M31" s="1272"/>
      <c r="N31" s="1269"/>
      <c r="O31" s="1269"/>
      <c r="P31" s="1269"/>
      <c r="Q31" s="1269"/>
      <c r="R31" s="1269"/>
      <c r="S31" s="1269"/>
      <c r="T31" s="1269"/>
      <c r="U31" s="1269"/>
      <c r="V31" s="1270"/>
      <c r="W31" s="1269"/>
      <c r="X31" s="1271"/>
      <c r="Z31" s="500"/>
      <c r="AA31" s="500" t="str">
        <f>IF(M31="","",M31)</f>
        <v/>
      </c>
      <c r="AB31" s="500"/>
      <c r="AC31" s="500"/>
      <c r="AD31" s="1155">
        <v>14</v>
      </c>
    </row>
    <row customHeight="1" ht="14.699999999999998">
      <c r="A32" s="1363" t="s">
        <v>2229</v>
      </c>
      <c r="B32" s="1363"/>
      <c r="C32" s="1363"/>
      <c r="D32" s="1363"/>
      <c r="E32" s="1363" t="s">
        <v>104</v>
      </c>
      <c r="F32" s="1517"/>
      <c r="G32" s="1517"/>
      <c r="H32" s="537"/>
      <c r="I32" s="360"/>
      <c r="J32" s="375"/>
      <c r="K32" s="355"/>
      <c r="L32" s="1279"/>
      <c r="M32" s="1273"/>
      <c r="N32" s="1269"/>
      <c r="O32" s="1269"/>
      <c r="P32" s="1269"/>
      <c r="Q32" s="1269"/>
      <c r="R32" s="1269"/>
      <c r="S32" s="1269"/>
      <c r="T32" s="1269"/>
      <c r="U32" s="1269"/>
      <c r="V32" s="1270"/>
      <c r="W32" s="1269"/>
      <c r="X32" s="1271"/>
      <c r="Z32" s="500"/>
      <c r="AA32" s="500" t="str">
        <f>IF(M32="","",M32)</f>
        <v/>
      </c>
      <c r="AB32" s="500"/>
      <c r="AC32" s="500"/>
      <c r="AD32" s="1155">
        <v>14</v>
      </c>
    </row>
    <row s="1850" customFormat="1" customHeight="1" ht="11.549999999999999">
      <c r="A33" s="1363"/>
      <c r="B33" s="1363"/>
      <c r="C33" s="1363"/>
      <c r="D33" s="1363"/>
      <c r="E33" s="1363" t="s">
        <v>450</v>
      </c>
      <c r="F33" s="1518"/>
      <c r="G33" s="1519"/>
      <c r="H33" s="537"/>
      <c r="L33" s="1280"/>
      <c r="M33" s="1274"/>
      <c r="N33" s="1269"/>
      <c r="O33" s="1269"/>
      <c r="P33" s="1269"/>
      <c r="Q33" s="1269"/>
      <c r="R33" s="1269"/>
      <c r="S33" s="1269"/>
      <c r="T33" s="1269"/>
      <c r="U33" s="1269"/>
      <c r="V33" s="1270"/>
      <c r="W33" s="1269"/>
      <c r="X33" s="1271"/>
      <c r="Y33" s="379"/>
      <c r="Z33" s="379"/>
      <c r="AA33" s="379"/>
      <c r="AB33" s="379"/>
      <c r="AC33" s="379"/>
      <c r="AD33" s="373">
        <v>11</v>
      </c>
    </row>
    <row customHeight="1" ht="11.549999999999999">
      <c r="F34" s="1160"/>
      <c r="G34" s="1160"/>
      <c r="H34" s="537"/>
      <c r="I34" s="1155"/>
      <c r="J34" s="1155"/>
      <c r="K34" s="1155"/>
      <c r="Y34" s="1155"/>
      <c r="Z34" s="1155"/>
      <c r="AA34" s="1155"/>
      <c r="AB34" s="1155"/>
      <c r="AC34" s="1155"/>
      <c r="AD34" s="1155">
        <v>11</v>
      </c>
    </row>
    <row customHeight="1" ht="28.5">
      <c r="H35" s="537"/>
      <c r="L35" s="1288" t="s">
        <v>806</v>
      </c>
      <c r="M35" s="2285" t="s">
        <v>2230</v>
      </c>
      <c r="N35" s="2285"/>
      <c r="O35" s="2285"/>
      <c r="P35" s="2285"/>
      <c r="Q35" s="2285"/>
      <c r="R35" s="2285"/>
      <c r="S35" s="2285"/>
      <c r="T35" s="2285"/>
      <c r="U35" s="2285"/>
      <c r="V35" s="2285"/>
      <c r="W35" s="2285"/>
      <c r="X35" s="2285"/>
      <c r="AD35" s="1155">
        <v>27</v>
      </c>
    </row>
    <row customHeight="1" ht="109.19999999999999">
      <c r="H36" s="537"/>
      <c r="I36" s="1303"/>
      <c r="M36" s="2285" t="s">
        <v>2231</v>
      </c>
      <c r="N36" s="2285"/>
      <c r="O36" s="2285"/>
      <c r="P36" s="2285"/>
      <c r="Q36" s="2285"/>
      <c r="R36" s="2285"/>
      <c r="S36" s="2285"/>
      <c r="T36" s="2285"/>
      <c r="U36" s="2285"/>
      <c r="V36" s="2285"/>
      <c r="W36" s="2285"/>
      <c r="X36" s="2285"/>
      <c r="AD36" s="1155">
        <v>104</v>
      </c>
    </row>
    <row customHeight="1" ht="14.699999999999998">
      <c r="H37" s="537"/>
      <c r="AD37" s="1155">
        <v>14</v>
      </c>
    </row>
    <row customHeight="1" ht="14.699999999999998">
      <c r="H38" s="537"/>
      <c r="AD38" s="1155">
        <v>14</v>
      </c>
    </row>
    <row customHeight="1" ht="14.699999999999998">
      <c r="H39" s="537"/>
      <c r="AD39" s="1155">
        <v>14</v>
      </c>
    </row>
    <row customHeight="1" ht="14.699999999999998">
      <c r="H40" s="537"/>
      <c r="AD40" s="1155">
        <v>14</v>
      </c>
    </row>
    <row customHeight="1" ht="22.5" hidden="1">
      <c r="A41" s="1160" t="s">
        <v>82</v>
      </c>
      <c r="B41" s="1160">
        <v>0</v>
      </c>
      <c r="C41" s="1160">
        <v>0</v>
      </c>
      <c r="D41" s="1160">
        <v>0</v>
      </c>
      <c r="E41" s="1160">
        <v>0</v>
      </c>
      <c r="F41" s="1362">
        <v>0</v>
      </c>
      <c r="G41" s="1362">
        <v>0</v>
      </c>
      <c r="H41" s="1362">
        <v>0</v>
      </c>
      <c r="I41" s="1286">
        <v>3</v>
      </c>
      <c r="J41" s="344">
        <v>3</v>
      </c>
      <c r="K41" s="344">
        <v>3</v>
      </c>
      <c r="L41" s="581">
        <v>12</v>
      </c>
      <c r="M41" s="1155">
        <v>31</v>
      </c>
      <c r="N41" s="1155">
        <v>1</v>
      </c>
      <c r="O41" s="1155">
        <v>24</v>
      </c>
      <c r="P41" s="1155">
        <v>24</v>
      </c>
      <c r="Q41" s="1155">
        <v>24</v>
      </c>
      <c r="R41" s="1155">
        <v>24</v>
      </c>
      <c r="S41" s="1155">
        <v>11</v>
      </c>
      <c r="T41" s="1155">
        <v>3</v>
      </c>
      <c r="U41" s="1155">
        <v>11</v>
      </c>
      <c r="V41" s="1155">
        <v>8</v>
      </c>
      <c r="W41" s="1155">
        <v>4</v>
      </c>
      <c r="X41" s="1155">
        <v>115</v>
      </c>
      <c r="Y41" s="511">
        <v>10</v>
      </c>
      <c r="Z41" s="511">
        <v>10</v>
      </c>
      <c r="AA41" s="511">
        <v>10</v>
      </c>
      <c r="AB41" s="511">
        <v>10</v>
      </c>
      <c r="AC41" s="511">
        <v>10</v>
      </c>
      <c r="AD41" s="1155">
        <v>23</v>
      </c>
    </row>
  </sheetData>
  <sheetProtection formatColumns="0" formatRows="0" autoFilter="0" sort="0" insertRows="0" insertColumns="1" deleteRows="0" deleteColumns="0"/>
  <mergeCells count="39">
    <mergeCell ref="O19:W19"/>
    <mergeCell ref="O20:W20"/>
    <mergeCell ref="O21:W21"/>
    <mergeCell ref="O22:W22"/>
    <mergeCell ref="F23:F28"/>
    <mergeCell ref="I23:I28"/>
    <mergeCell ref="O23:W23"/>
    <mergeCell ref="G24:G27"/>
    <mergeCell ref="J24:J27"/>
    <mergeCell ref="O24:W24"/>
    <mergeCell ref="O11:U11"/>
    <mergeCell ref="L12:M12"/>
    <mergeCell ref="O13:V13"/>
    <mergeCell ref="L14:W14"/>
    <mergeCell ref="T18:U18"/>
    <mergeCell ref="L5:U5"/>
    <mergeCell ref="L6:U6"/>
    <mergeCell ref="O8:U8"/>
    <mergeCell ref="O9:U9"/>
    <mergeCell ref="O10:U10"/>
    <mergeCell ref="X14:X17"/>
    <mergeCell ref="L15:L17"/>
    <mergeCell ref="M15:M17"/>
    <mergeCell ref="O15:U15"/>
    <mergeCell ref="V15:V17"/>
    <mergeCell ref="W15:W17"/>
    <mergeCell ref="O16:O17"/>
    <mergeCell ref="P16:P17"/>
    <mergeCell ref="Q16:R16"/>
    <mergeCell ref="S16:U16"/>
    <mergeCell ref="T17:U17"/>
    <mergeCell ref="X25:X27"/>
    <mergeCell ref="M35:X35"/>
    <mergeCell ref="M36:X36"/>
    <mergeCell ref="H25:H26"/>
    <mergeCell ref="S25:S26"/>
    <mergeCell ref="T25:T26"/>
    <mergeCell ref="U25:U26"/>
    <mergeCell ref="V25:V26"/>
  </mergeCells>
  <dataValidations count="8">
    <dataValidation type="list" allowBlank="1" showInputMessage="1" showErrorMessage="1" errorTitle="Ошибка" error="Выберите значение из списка" sqref="O983063:P983063 O65559:P65559 O131095:P131095 O196631:P196631 O262167:P262167 O327703:P327703 O393239:P393239 O458775:P458775 O524311:P524311 O589847:P589847 O655383:P655383 O720919:P720919 O786455:P786455 O851991:P851991 O917527:P917527">
      <formula1>kind_of_scheme_in</formula1>
    </dataValidation>
    <dataValidation type="textLength" operator="lessThanOrEqual" allowBlank="1" showInputMessage="1" showErrorMessage="1" errorTitle="Ошибка" error="Допускается ввод не более 900 символов!" sqref="X65555:X65562 X131091:X131098 X196627:X196634 X262163:X262170 X327699:X327706 X393235:X393242 X458771:X458778 X524307:X524314 X589843:X589850 X655379:X655386 X720915:X720922 X786451:X786458 X851987:X851994 X917523:X917530 X983059:X983066">
      <formula1>900</formula1>
    </dataValidation>
    <dataValidation type="list" allowBlank="1" showInputMessage="1" errorTitle="Ошибка" error="Выберите значение из списка" prompt="Выберите значение из списка" sqref="O983064:W983064 O65560:W65560 O131096:W131096 O196632:W196632 O262168:W262168 O327704:W327704 O393240:W393240 O458776:W458776 O524312:W524312 O589848:W589848 O655384:W655384 O720920:W720920 O786456:W786456 O851992:W851992 O917528:W917528">
      <formula1>kind_of_cons</formula1>
    </dataValidation>
    <dataValidation type="list" allowBlank="1" showInputMessage="1" showErrorMessage="1" errorTitle="Ошибка" error="Выберите значение из списка" sqref="M65561 M131097 M196633 M262169 M327705 M393241 M458777 M524313 M589849 M655385 M720921 M786457 M851993 M917529 M983065">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S65561 S131097 S196633 S262169 S327705 S393241 S458777 S524313 S589849 S655385 S720921 S786457 S851993 S917529 S983065 U65561 U131097 U196633 U262169 U327705 U393241 U458777 U524313 U589849 U655385 U720921 U786457 U851993 U917529 U983065 U25 S25"/>
    <dataValidation allowBlank="1" showInputMessage="1" showErrorMessage="1" prompt="Для выбора выполните двойной щелчок левой клавиши мыши по соответствующей ячейке." sqref="T65561 T131097 T196633 T262169 T327705 T393241 T458777 T524313 T589849 T655385 T720921 T786457 T851993 T917529 T983065 V589849 V655385 V720921 V786457 V851993 V917529 V983065 V65561 V131097 V458777 V196633 V262169 V327705 V393241 V25 T25 V524313"/>
    <dataValidation allowBlank="1" promptTitle="checkPeriodRange" sqref="R26 R65562 R131098 R196634 R262170 R327706 R393242 R458778 R524314 R589850 R655386 R720922 R786458 R851994 R917530 R983066"/>
    <dataValidation allowBlank="1" sqref="L131099:X131105 L196635:X196641 L262171:X262177 L327707:X327713 L393243:X393249 L458779:X458785 L524315:X524321 L589851:X589857 L655387:X655393 L720923:X720929 L786459:X786465 L851995:X852001 L917531:X917537 L983067:X983073 L65563:X65569"/>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7095B69-5048-91A5-F568-15CCDD14A0ED}"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4C60813-7B8E-3054-924B-3D0440EC2F0C}"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29ADCE7-6B31-1A55-08F1-BD7089302FC5}"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6C8DD0A-83EA-10A6-C313-D420075D6774}"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F8532E5-BFE8-ED26-8087-3255337DFCA4}"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538EA15-BF06-DB2F-BABA-565BBD98559D}" mc:Ignorable="x14ac xr xr2 xr3">
  <sheetPr>
    <tabColor theme="3" tint="0.6"/>
  </sheetPr>
  <dimension ref="A1:J60"/>
  <sheetViews>
    <sheetView showGridLines="0" zoomScale="90" workbookViewId="0">
      <pane xSplit="5" ySplit="12" topLeftCell="F13" activePane="bottomRight" state="frozen"/>
      <selection pane="bottomLeft" activeCell="A13" sqref="A13"/>
      <selection pane="topRight" activeCell="F1" sqref="F1"/>
      <selection pane="bottomRight" activeCell="A1" sqref="A1"/>
    </sheetView>
  </sheetViews>
  <sheetFormatPr defaultColWidth="9.140625" customHeight="1" defaultRowHeight="11.25"/>
  <cols>
    <col min="1" max="1" style="1686" width="15.00390625" hidden="1" customWidth="1"/>
    <col min="2" max="2" style="501" width="15.00390625" hidden="1" customWidth="1"/>
    <col min="3" max="3" style="455" width="3.00390625" customWidth="1"/>
    <col min="4" max="4" style="456" width="6.00390625" customWidth="1"/>
    <col min="5" max="5" style="455" width="52.00390625" customWidth="1"/>
    <col min="6" max="6" style="455" width="48.00390625" customWidth="1"/>
    <col min="7" max="7" style="455" width="121.00390625" customWidth="1"/>
    <col min="8" max="8" style="455" width="8.00390625" customWidth="1"/>
    <col min="9" max="9" style="455" width="64.00390625" customWidth="1"/>
    <col min="10" max="10" style="455" width="9.140625" hidden="1"/>
  </cols>
  <sheetData>
    <row customHeight="1" ht="11.25" hidden="1">
      <c r="A1" s="1686" t="s">
        <v>301</v>
      </c>
      <c r="J1" s="455" t="s">
        <v>14</v>
      </c>
    </row>
    <row customHeight="1" ht="11.25" hidden="1">
      <c r="J2" s="455">
        <v>0</v>
      </c>
    </row>
    <row s="477" customFormat="1" customHeight="1" ht="11.549999999999999">
      <c r="A3" s="1686"/>
      <c r="B3" s="501"/>
      <c r="D3" s="478"/>
      <c r="J3" s="477">
        <v>11</v>
      </c>
    </row>
    <row customHeight="1" ht="27.299999999999997">
      <c r="D4" s="2157" t="str">
        <f>ORG_INFO_NAME_FORM</f>
        <v>Форма 1. Информация о единых теплоснабжающих организациях в системе теплоснабжения,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не отнесенных к ценовым зонам теплоснабжения, и в поселениях и городских округах, отнесенных к ценовым зонам теплоснабжения в соответствии с Федеральным законом от 27 июля 2010 г. N 190-ФЗ "О теплоснабжении", до окончания переходного периода в ценовых зонах теплоснабжения (далее - регулируемые организации); о единых теплоснабжающих организациях,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отнесенных к ценовым зонам теплоснабжения в соответствии с Федеральным законом от 27 июля 2010 г. N 190-ФЗ "О теплоснабжении", после окончания переходного периода в ценовых зонах теплоснабжения (далее соответственно - единые теплоснабжающие организации в ценовых зонах теплоснабжения, теплоснабжающие организации в ценовых зонах теплоснабжения и теплосетевые организации в ценовых зонах теплоснабжения) (общая информация)</v>
      </c>
      <c r="E4" s="2158"/>
      <c r="F4" s="2159"/>
      <c r="I4" s="715"/>
      <c r="J4" s="455">
        <v>26</v>
      </c>
    </row>
    <row customHeight="1" ht="18">
      <c r="D5" s="2176" t="str">
        <f>IF(org=0,"Не определено",org)</f>
        <v>ПАО "ОГК-2"</v>
      </c>
      <c r="E5" s="2176"/>
      <c r="F5" s="2176"/>
      <c r="I5" s="715"/>
      <c r="J5" s="455">
        <v>17</v>
      </c>
    </row>
    <row s="477" customFormat="1" customHeight="1" ht="11.549999999999999">
      <c r="A6" s="1686"/>
      <c r="B6" s="501"/>
      <c r="D6" s="714"/>
      <c r="E6" s="714"/>
      <c r="F6" s="752"/>
      <c r="G6" s="714"/>
      <c r="J6" s="477">
        <v>11</v>
      </c>
    </row>
    <row customHeight="1" ht="11.25" hidden="1">
      <c r="A7" s="457"/>
      <c r="B7" s="502"/>
      <c r="C7" s="457"/>
      <c r="D7" s="463"/>
      <c r="E7" s="2207"/>
      <c r="F7" s="2207"/>
      <c r="J7" s="455">
        <v>0</v>
      </c>
    </row>
    <row customHeight="1" ht="11.549999999999999">
      <c r="A8" s="457"/>
      <c r="B8" s="502"/>
      <c r="C8" s="457"/>
      <c r="D8" s="2204" t="s">
        <v>302</v>
      </c>
      <c r="E8" s="2205"/>
      <c r="F8" s="2205"/>
      <c r="G8" s="2208" t="s">
        <v>303</v>
      </c>
      <c r="J8" s="455">
        <v>11</v>
      </c>
    </row>
    <row customHeight="1" ht="11.549999999999999">
      <c r="A9" s="457"/>
      <c r="B9" s="502"/>
      <c r="C9" s="457"/>
      <c r="D9" s="472" t="s">
        <v>88</v>
      </c>
      <c r="E9" s="446" t="s">
        <v>304</v>
      </c>
      <c r="F9" s="446" t="s">
        <v>305</v>
      </c>
      <c r="G9" s="2209"/>
      <c r="J9" s="455">
        <v>11</v>
      </c>
    </row>
    <row customHeight="1" ht="12" hidden="1">
      <c r="A10" s="457"/>
      <c r="B10" s="502"/>
      <c r="C10" s="457"/>
      <c r="D10" s="464"/>
      <c r="E10" s="464"/>
      <c r="F10" s="464"/>
      <c r="G10" s="464"/>
      <c r="J10" s="455">
        <v>0</v>
      </c>
    </row>
    <row customHeight="1" ht="22.5" hidden="1">
      <c r="A11" s="457"/>
      <c r="B11" s="502"/>
      <c r="C11" s="457"/>
      <c r="D11" s="1009" t="s">
        <v>109</v>
      </c>
      <c r="E11" s="1012" t="s">
        <v>306</v>
      </c>
      <c r="F11" s="1011" t="str">
        <f>IF(region_name="","",region_name)</f>
        <v>Вологодская область</v>
      </c>
      <c r="G11" s="1012" t="s">
        <v>307</v>
      </c>
      <c r="H11" s="475"/>
      <c r="J11" s="455">
        <v>0</v>
      </c>
    </row>
    <row customHeight="1" ht="22.5" hidden="1">
      <c r="A12" s="457"/>
      <c r="B12" s="502"/>
      <c r="C12" s="457"/>
      <c r="D12" s="445" t="s">
        <v>109</v>
      </c>
      <c r="E12" s="444" t="str">
        <f>IF(TEMPLATE_SPHERE="TKO","Данные об организации (индивидуальном предпринимателе)","Данные о регулируемой организации"&amp;IF(TEMPLATE_SPHERE="HEAT",", о единой теплоснабжающей организации в ценовых зонах теплоснабжения, о теплоснабжающей организации в ценовых зонах теплоснабжения и теплосетевой организации в ценовых зонах теплоснабжения ",""))</f>
        <v>Данные о регулируемой организации, о единой теплоснабжающей организации в ценовых зонах теплоснабжения, о теплоснабжающей организации в ценовых зонах теплоснабжения и теплосетевой организации в ценовых зонах теплоснабжения </v>
      </c>
      <c r="F12" s="443" t="s">
        <v>308</v>
      </c>
      <c r="G12" s="474"/>
      <c r="H12" s="475"/>
      <c r="J12" s="455">
        <v>0</v>
      </c>
    </row>
    <row customHeight="1" ht="23.25">
      <c r="A13" s="457"/>
      <c r="B13" s="502"/>
      <c r="C13" s="457"/>
      <c r="D13" s="445" t="s">
        <v>109</v>
      </c>
      <c r="E13" s="442" t="str">
        <f>"Наименование юридического лица"&amp;IF(TEMPLATE_SPHERE="TKO"," (индивидуального предпринимателя)","")</f>
        <v>Наименование юридического лица</v>
      </c>
      <c r="F13" s="441"/>
      <c r="G13" s="444" t="str">
        <f>"Наименование юридического лица"&amp;IF(TEMPLATE_SPHERE="HEAT"," (согласно уставу регулируемой организации)"," указывается согласно уставу "&amp;IF(TEMPLATE_SPHERE="TKO","организации. Наименование индивидуального предпринимателя указывается согласно сведениям из ЕГРИП.","регулируемой организации."))</f>
        <v>Наименование юридического лица (согласно уставу регулируемой организации)</v>
      </c>
      <c r="H13" s="475"/>
      <c r="J13" s="455">
        <v>22</v>
      </c>
    </row>
    <row customHeight="1" ht="22.5" hidden="1">
      <c r="A14" s="457"/>
      <c r="B14" s="502"/>
      <c r="C14" s="457"/>
      <c r="D14" s="1009" t="s">
        <v>309</v>
      </c>
      <c r="E14" s="1010" t="s">
        <v>310</v>
      </c>
      <c r="F14" s="1011" t="str">
        <f>IF(inn="","",inn)</f>
        <v>2607018122</v>
      </c>
      <c r="G14" s="1012" t="s">
        <v>311</v>
      </c>
      <c r="H14" s="475"/>
      <c r="J14" s="455">
        <v>0</v>
      </c>
    </row>
    <row customHeight="1" ht="22.5" hidden="1">
      <c r="A15" s="457"/>
      <c r="B15" s="502"/>
      <c r="C15" s="457"/>
      <c r="D15" s="1009" t="s">
        <v>312</v>
      </c>
      <c r="E15" s="1010" t="s">
        <v>313</v>
      </c>
      <c r="F15" s="1011" t="str">
        <f>IF(kpp="","",kpp)</f>
        <v>351043001</v>
      </c>
      <c r="G15" s="1012" t="s">
        <v>314</v>
      </c>
      <c r="H15" s="475"/>
      <c r="J15" s="455">
        <v>0</v>
      </c>
    </row>
    <row customHeight="1" ht="39">
      <c r="A16" s="457"/>
      <c r="B16" s="502"/>
      <c r="C16" s="457"/>
      <c r="D16" s="445" t="s">
        <v>110</v>
      </c>
      <c r="E16" s="442" t="str">
        <f>"Основной государственный регистрационный номер (ОГРН)"&amp;IF(TEMPLATE_SPHERE="TKO",""," (основной государственный регистрационный номер индивидуального предпринимателя (ОГРНИП)")</f>
        <v>Основной государственный регистрационный номер (ОГРН) (основной государственный регистрационный номер индивидуального предпринимателя (ОГРНИП)</v>
      </c>
      <c r="F16" s="441"/>
      <c r="G16" s="444" t="str">
        <f>"Указывается основной государственный регистрационный номер юридического лица"&amp;IF(TEMPLATE_SPHERE="TKO",""," (индивидуального предпринимателя)")&amp;"."</f>
        <v>Указывается основной государственный регистрационный номер юридического лица (индивидуального предпринимателя).</v>
      </c>
      <c r="H16" s="475"/>
      <c r="J16" s="455">
        <v>37</v>
      </c>
    </row>
    <row customHeight="1" ht="23.25">
      <c r="A17" s="457"/>
      <c r="B17" s="502"/>
      <c r="C17" s="457"/>
      <c r="D17" s="445" t="s">
        <v>90</v>
      </c>
      <c r="E17" s="442" t="str">
        <f>"Дата присвоения ОГРН"&amp;IF(TEMPLATE_SPHERE="TKO",""," (ОГРНИП)")</f>
        <v>Дата присвоения ОГРН (ОГРНИП)</v>
      </c>
      <c r="F17" s="1732" t="s">
        <v>22</v>
      </c>
      <c r="G17" s="444" t="str">
        <f>"Дата присвоения ОГРН"&amp;IF(TEMPLATE_SPHERE="TKO",""," (ОГРНИП)")&amp;" указывается в виде «ДД.ММ.ГГГГ»."</f>
        <v>Дата присвоения ОГРН (ОГРНИП) указывается в виде «ДД.ММ.ГГГГ».</v>
      </c>
      <c r="H17" s="475"/>
      <c r="J17" s="455">
        <v>22</v>
      </c>
    </row>
    <row customHeight="1" ht="71.25">
      <c r="A18" s="457"/>
      <c r="B18" s="502"/>
      <c r="C18" s="457"/>
      <c r="D18" s="445" t="s">
        <v>91</v>
      </c>
      <c r="E18" s="442" t="str">
        <f>"Наименование органа, принявшего решение о "&amp;IF(TEMPLATE_SPHERE="TKO","государственной регистрации организации ","регистрации в соответствии со свидетельством о государственной регистрации")&amp;" в качестве юридического лица (о государственной регистрации физического лица в качестве индивидуального предпринимателя)"</f>
        <v>Наименование органа, принявшего решение о регистрации в соответствии со свидетельством о государственной регистрации в качестве юридического лица (о государственной регистрации физического лица в качестве индивидуального предпринимателя)</v>
      </c>
      <c r="F18" s="441"/>
      <c r="G18" s="474"/>
      <c r="H18" s="475"/>
      <c r="J18" s="455">
        <v>68</v>
      </c>
    </row>
    <row customHeight="1" ht="22.5" hidden="1">
      <c r="A19" s="2202" t="s">
        <v>315</v>
      </c>
      <c r="B19" s="502"/>
      <c r="C19" s="2213"/>
      <c r="D19" s="445" t="str">
        <f>A19</f>
        <v>5.1</v>
      </c>
      <c r="E19" s="442" t="s">
        <v>316</v>
      </c>
      <c r="F19" s="443" t="s">
        <v>308</v>
      </c>
      <c r="G19" s="444" t="s">
        <v>317</v>
      </c>
      <c r="H19" s="475"/>
      <c r="I19" s="852"/>
      <c r="J19" s="455">
        <v>0</v>
      </c>
    </row>
    <row customHeight="1" ht="24" hidden="1">
      <c r="A20" s="2202"/>
      <c r="B20" s="502"/>
      <c r="C20" s="2213"/>
      <c r="D20" s="440" t="str">
        <f>D19&amp;".1"</f>
        <v>5.1.1</v>
      </c>
      <c r="E20" s="439" t="s">
        <v>318</v>
      </c>
      <c r="F20" s="881" t="s">
        <v>22</v>
      </c>
      <c r="G20" s="474"/>
      <c r="H20" s="475"/>
      <c r="I20" s="852"/>
      <c r="J20" s="455">
        <v>0</v>
      </c>
    </row>
    <row customHeight="1" ht="22.5" hidden="1">
      <c r="A21" s="2202"/>
      <c r="B21" s="502"/>
      <c r="C21" s="2213"/>
      <c r="D21" s="440" t="str">
        <f>D19&amp;".2"</f>
        <v>5.1.2</v>
      </c>
      <c r="E21" s="439" t="s">
        <v>319</v>
      </c>
      <c r="F21" s="1733" t="s">
        <v>22</v>
      </c>
      <c r="G21" s="444" t="s">
        <v>320</v>
      </c>
      <c r="H21" s="475"/>
      <c r="I21" s="852"/>
      <c r="J21" s="455">
        <v>0</v>
      </c>
    </row>
    <row customHeight="1" ht="22.5" hidden="1">
      <c r="A22" s="2202"/>
      <c r="B22" s="502"/>
      <c r="C22" s="2213"/>
      <c r="D22" s="440" t="str">
        <f>D19&amp;".3"</f>
        <v>5.1.3</v>
      </c>
      <c r="E22" s="439" t="s">
        <v>321</v>
      </c>
      <c r="F22" s="881" t="s">
        <v>22</v>
      </c>
      <c r="G22" s="474"/>
      <c r="H22" s="475"/>
      <c r="I22" s="852"/>
      <c r="J22" s="455">
        <v>0</v>
      </c>
    </row>
    <row customHeight="1" ht="22.5" hidden="1">
      <c r="A23" s="2202"/>
      <c r="B23" s="502"/>
      <c r="C23" s="2213"/>
      <c r="D23" s="440" t="str">
        <f>D19&amp;".4"</f>
        <v>5.1.4</v>
      </c>
      <c r="E23" s="439" t="s">
        <v>322</v>
      </c>
      <c r="F23" s="881" t="s">
        <v>22</v>
      </c>
      <c r="G23" s="444" t="s">
        <v>323</v>
      </c>
      <c r="H23" s="475"/>
      <c r="I23" s="852"/>
      <c r="J23" s="455">
        <v>0</v>
      </c>
    </row>
    <row customHeight="1" ht="22.5" hidden="1">
      <c r="A24" s="1978"/>
      <c r="B24" s="502"/>
      <c r="C24" s="492"/>
      <c r="D24" s="467"/>
      <c r="E24" s="1168" t="s">
        <v>324</v>
      </c>
      <c r="F24" s="468"/>
      <c r="G24" s="469"/>
      <c r="H24" s="475"/>
      <c r="I24" s="852"/>
      <c r="J24" s="455">
        <v>0</v>
      </c>
    </row>
    <row s="501" customFormat="1" customHeight="1" ht="24.75" hidden="1">
      <c r="A25" s="457"/>
      <c r="B25" s="502"/>
      <c r="C25" s="502"/>
      <c r="D25" s="1006" t="s">
        <v>90</v>
      </c>
      <c r="E25" s="1008" t="s">
        <v>325</v>
      </c>
      <c r="F25" s="1013" t="s">
        <v>308</v>
      </c>
      <c r="G25" s="1008"/>
      <c r="J25" s="501">
        <v>0</v>
      </c>
    </row>
    <row s="501" customFormat="1" customHeight="1" ht="11.25" hidden="1">
      <c r="A26" s="457"/>
      <c r="B26" s="502"/>
      <c r="C26" s="502"/>
      <c r="D26" s="1006" t="s">
        <v>326</v>
      </c>
      <c r="E26" s="1007" t="s">
        <v>327</v>
      </c>
      <c r="F26" s="1013" t="s">
        <v>308</v>
      </c>
      <c r="G26" s="1008"/>
      <c r="J26" s="501">
        <v>0</v>
      </c>
    </row>
    <row s="501" customFormat="1" customHeight="1" ht="11.25" hidden="1">
      <c r="A27" s="457"/>
      <c r="B27" s="502"/>
      <c r="C27" s="502"/>
      <c r="D27" s="1006" t="s">
        <v>328</v>
      </c>
      <c r="E27" s="1014" t="s">
        <v>329</v>
      </c>
      <c r="F27" s="1015"/>
      <c r="G27" s="1008" t="str">
        <f>"Указывается фамилия должностного лица"&amp;IF(TEMPLATE_SPHERE="HEAT"," регулируемой","")&amp;" организации"&amp;IF(TEMPLATE_SPHERE="HEAT",""," "&amp;TEMPLATE_SPHERE_RUS)&amp;", ответственного за размещение данных, в соответствии с паспортными данными физического лица."</f>
        <v>Указывается фамилия должностного лица регулируемой организации, ответственного за размещение данных, в соответствии с паспортными данными физического лица.</v>
      </c>
      <c r="J27" s="501">
        <v>0</v>
      </c>
    </row>
    <row s="501" customFormat="1" customHeight="1" ht="11.25" hidden="1">
      <c r="A28" s="457"/>
      <c r="B28" s="502"/>
      <c r="C28" s="502"/>
      <c r="D28" s="1006" t="s">
        <v>330</v>
      </c>
      <c r="E28" s="1014" t="s">
        <v>331</v>
      </c>
      <c r="F28" s="1015"/>
      <c r="G28" s="1008" t="str">
        <f>"Указывается имя должностного лица"&amp;IF(TEMPLATE_SPHERE="HEAT"," регулируемой","")&amp;" организации"&amp;IF(TEMPLATE_SPHERE="HEAT",""," "&amp;TEMPLATE_SPHERE_RUS)&amp;", ответственного за размещение данных, в соответствии с паспортными данными физического лица."</f>
        <v>Указывается имя должностного лица регулируемой организации, ответственного за размещение данных, в соответствии с паспортными данными физического лица.</v>
      </c>
      <c r="J28" s="501">
        <v>0</v>
      </c>
    </row>
    <row s="501" customFormat="1" customHeight="1" ht="11.25" hidden="1">
      <c r="A29" s="457"/>
      <c r="B29" s="502"/>
      <c r="C29" s="502"/>
      <c r="D29" s="1006" t="s">
        <v>332</v>
      </c>
      <c r="E29" s="1014" t="s">
        <v>333</v>
      </c>
      <c r="F29" s="1015"/>
      <c r="G29" s="1008" t="str">
        <f>"Указывается отчество должностного лица"&amp;IF(TEMPLATE_SPHERE="HEAT"," регулируемой","")&amp;" организации"&amp;IF(TEMPLATE_SPHERE="HEAT",""," "&amp;TEMPLATE_SPHERE_RUS)&amp;", ответственного за размещение данных, в соответствии с паспортными данными физического лица (при наличии)."</f>
        <v>Указывается отчество должностного лица регулируемой организации, ответственного за размещение данных, в соответствии с паспортными данными физического лица (при наличии).</v>
      </c>
      <c r="J29" s="501">
        <v>0</v>
      </c>
    </row>
    <row s="501" customFormat="1" customHeight="1" ht="11.25" hidden="1">
      <c r="A30" s="457"/>
      <c r="B30" s="502"/>
      <c r="C30" s="502"/>
      <c r="D30" s="1006" t="s">
        <v>334</v>
      </c>
      <c r="E30" s="1007" t="s">
        <v>335</v>
      </c>
      <c r="F30" s="1015"/>
      <c r="G30" s="1008"/>
      <c r="J30" s="501">
        <v>0</v>
      </c>
    </row>
    <row s="501" customFormat="1" customHeight="1" ht="11.25" hidden="1">
      <c r="A31" s="457"/>
      <c r="B31" s="502"/>
      <c r="C31" s="502"/>
      <c r="D31" s="1006" t="s">
        <v>336</v>
      </c>
      <c r="E31" s="1007" t="s">
        <v>337</v>
      </c>
      <c r="F31" s="1015"/>
      <c r="G31" s="1008"/>
      <c r="J31" s="501">
        <v>0</v>
      </c>
    </row>
    <row s="501" customFormat="1" customHeight="1" ht="11.25" hidden="1">
      <c r="A32" s="457"/>
      <c r="B32" s="502"/>
      <c r="C32" s="502"/>
      <c r="D32" s="1006" t="s">
        <v>338</v>
      </c>
      <c r="E32" s="1007" t="s">
        <v>339</v>
      </c>
      <c r="F32" s="1016"/>
      <c r="G32" s="1008"/>
      <c r="J32" s="501">
        <v>0</v>
      </c>
    </row>
    <row customHeight="1" ht="24">
      <c r="A33" s="457" t="str">
        <f>IF(TEMPLATE_SPHERE="HEAT","6","5")</f>
        <v>6</v>
      </c>
      <c r="B33" s="502"/>
      <c r="C33" s="457"/>
      <c r="D33" s="440" t="str">
        <f>A33</f>
        <v>6</v>
      </c>
      <c r="E33" s="438" t="str">
        <f>"Фамилия, имя и отчество руководителя"&amp;IF(TEMPLATE_SPHERE="HEAT"," регулируемой организации, ЕТО, ТО ",IF(TEMPLATE_SPHERE&lt;&gt;"TKO"," регулируемой организации"," организации"))&amp;IF(TEMPLATE_SPHERE&lt;&gt;"TKO"," (индивидуального предпринимателя)","")&amp;":"</f>
        <v>Фамилия, имя и отчество руководителя регулируемой организации, ЕТО, ТО  (индивидуального предпринимателя):</v>
      </c>
      <c r="F33" s="443" t="s">
        <v>308</v>
      </c>
      <c r="G33" s="474"/>
      <c r="H33" s="475"/>
      <c r="J33" s="455">
        <v>23</v>
      </c>
    </row>
    <row customHeight="1" ht="23.25">
      <c r="A34" s="457"/>
      <c r="B34" s="502"/>
      <c r="C34" s="457"/>
      <c r="D34" s="440" t="str">
        <f>D33&amp;".1"</f>
        <v>6.1</v>
      </c>
      <c r="E34" s="442" t="str">
        <f>"фамилия"&amp;IF(TEMPLATE_SPHERE&lt;&gt;"HEAT"," руководителя","")</f>
        <v>фамилия</v>
      </c>
      <c r="F34" s="441"/>
      <c r="G34" s="444" t="str">
        <f>"Указывается фамилия руководителя"&amp;IF(TEMPLATE_SPHERE&lt;&gt;"TKO"," регулируемой организации"&amp;IF(TEMPLATE_SPHERE="HEAT",", ЕТО, ТО","")," организации")&amp;" в соответствии с паспортными данными физического лица."</f>
        <v>Указывается фамилия руководителя регулируемой организации, ЕТО, ТО в соответствии с паспортными данными физического лица.</v>
      </c>
      <c r="H34" s="475"/>
      <c r="J34" s="455">
        <v>22</v>
      </c>
    </row>
    <row customHeight="1" ht="23.25">
      <c r="A35" s="457"/>
      <c r="B35" s="502"/>
      <c r="C35" s="457"/>
      <c r="D35" s="440" t="str">
        <f>D33&amp;".2"</f>
        <v>6.2</v>
      </c>
      <c r="E35" s="442" t="str">
        <f>"имя"&amp;IF(TEMPLATE_SPHERE&lt;&gt;"HEAT"," руководителя","")</f>
        <v>имя</v>
      </c>
      <c r="F35" s="441"/>
      <c r="G35" s="444" t="str">
        <f>"Указывается имя руководителя"&amp;IF(TEMPLATE_SPHERE&lt;&gt;"TKO"," регулируемой организации"&amp;IF(TEMPLATE_SPHERE="HEAT",", ЕТО, ТО","")," организации")&amp;" в соответствии с паспортными данными физического лица."</f>
        <v>Указывается имя руководителя регулируемой организации, ЕТО, ТО в соответствии с паспортными данными физического лица.</v>
      </c>
      <c r="H35" s="475"/>
      <c r="J35" s="455">
        <v>22</v>
      </c>
    </row>
    <row customHeight="1" ht="24">
      <c r="A36" s="457"/>
      <c r="B36" s="502"/>
      <c r="C36" s="457"/>
      <c r="D36" s="440" t="str">
        <f>D33&amp;".3"</f>
        <v>6.3</v>
      </c>
      <c r="E36" s="442" t="str">
        <f>"отчество"&amp;IF(TEMPLATE_SPHERE&lt;&gt;"HEAT"," руководителя","")</f>
        <v>отчество</v>
      </c>
      <c r="F36" s="698"/>
      <c r="G36" s="444" t="str">
        <f>"Указывается отчество руководителя"&amp;IF(TEMPLATE_SPHERE&lt;&gt;"TKO"," регулируемой организации"&amp;IF(TEMPLATE_SPHERE="HEAT",", ЕТО, ТО","")," организации")&amp;" в соответствии с паспортными данными физического лица (при наличии)."</f>
        <v>Указывается отчество руководителя регулируемой организации, ЕТО, ТО в соответствии с паспортными данными физического лица (при наличии).</v>
      </c>
      <c r="H36" s="475"/>
      <c r="J36" s="455">
        <v>23</v>
      </c>
    </row>
    <row customHeight="1" ht="35.699999999999996">
      <c r="A37" s="457"/>
      <c r="B37" s="502"/>
      <c r="C37" s="457"/>
      <c r="D37" s="440">
        <f>D33+1</f>
        <v>7</v>
      </c>
      <c r="E37" s="438" t="str">
        <f>"Почтовый адрес органов управления"&amp;IF(TEMPLATE_SPHERE&lt;&gt;"TKO"," регулируемой","")&amp;" организации"&amp;IF(TEMPLATE_SPHERE="HEAT",", ЕТО, ТО","")</f>
        <v>Почтовый адрес органов управления регулируемой организации, ЕТО, ТО</v>
      </c>
      <c r="F37" s="441"/>
      <c r="G37" s="444" t="s">
        <v>340</v>
      </c>
      <c r="H37" s="475"/>
      <c r="J37" s="455">
        <v>34</v>
      </c>
    </row>
    <row customHeight="1" ht="35.699999999999996">
      <c r="A38" s="457"/>
      <c r="B38" s="502"/>
      <c r="C38" s="457"/>
      <c r="D38" s="440">
        <f>D37+1</f>
        <v>8</v>
      </c>
      <c r="E38" s="438" t="str">
        <f>"Адрес места нахождения органов управления"&amp;IF(TEMPLATE_SPHERE&lt;&gt;"TKO"," регулируемой","")&amp;" организации"&amp;IF(TEMPLATE_SPHERE="HEAT",", ЕТО, ТО","")</f>
        <v>Адрес места нахождения органов управления регулируемой организации, ЕТО, ТО</v>
      </c>
      <c r="F38" s="441"/>
      <c r="G38" s="444" t="s">
        <v>340</v>
      </c>
      <c r="H38" s="475"/>
      <c r="J38" s="455">
        <v>34</v>
      </c>
    </row>
    <row customHeight="1" ht="23.25">
      <c r="A39" s="457"/>
      <c r="B39" s="502"/>
      <c r="C39" s="457"/>
      <c r="D39" s="440">
        <f>D38+1</f>
        <v>9</v>
      </c>
      <c r="E39" s="437" t="str">
        <f>"Контактные телефоны "&amp;IF(TEMPLATE_SPHERE="TKO","","регулируемой ")&amp;"организации"&amp;IF(TEMPLATE_SPHERE="HEAT",", ЕТО, ТО",IF(TEMPLATE_SPHERE="TKO"," (индивидуального предпринимателя)",""))</f>
        <v>Контактные телефоны регулируемой организации, ЕТО, ТО</v>
      </c>
      <c r="F39" s="443" t="s">
        <v>308</v>
      </c>
      <c r="G39" s="2210" t="str">
        <f>"Указывается номер контактного телефона"&amp;IF(TEMPLATE_SPHERE&lt;&gt;"TKO"," регулируемой","")&amp;" организации.
В случае наличия нескольких номеров телефонов, информация по каждому из них указывается в отдельной строке."</f>
        <v>Указывается номер контактного телефона регулируемой организации.
В случае наличия нескольких номеров телефонов, информация по каждому из них указывается в отдельной строке.</v>
      </c>
      <c r="H39" s="475"/>
      <c r="J39" s="455">
        <v>22</v>
      </c>
    </row>
    <row customHeight="1" ht="22.5" hidden="1">
      <c r="A40" s="457"/>
      <c r="B40" s="502"/>
      <c r="C40" s="457"/>
      <c r="D40" s="440" t="str">
        <f>D39&amp;".0"</f>
        <v>9.0</v>
      </c>
      <c r="E40" s="1605"/>
      <c r="F40" s="881"/>
      <c r="G40" s="2211"/>
      <c r="H40" s="475"/>
      <c r="J40" s="455">
        <v>0</v>
      </c>
    </row>
    <row customHeight="1" ht="23.25">
      <c r="A41" s="457"/>
      <c r="B41" s="457"/>
      <c r="C41" s="1688"/>
      <c r="D41" s="440" t="str">
        <f>D39&amp;".1"</f>
        <v>9.1</v>
      </c>
      <c r="E41" s="860"/>
      <c r="F41" s="861"/>
      <c r="G41" s="2211"/>
      <c r="H41" s="475"/>
      <c r="J41" s="455">
        <v>22</v>
      </c>
    </row>
    <row customHeight="1" ht="15.75">
      <c r="A42" s="457"/>
      <c r="B42" s="502"/>
      <c r="C42" s="457"/>
      <c r="D42" s="467"/>
      <c r="E42" s="415" t="s">
        <v>341</v>
      </c>
      <c r="F42" s="469"/>
      <c r="G42" s="2212"/>
      <c r="H42" s="476"/>
      <c r="J42" s="455">
        <v>15</v>
      </c>
    </row>
    <row customHeight="1" ht="27.299999999999997">
      <c r="A43" s="457"/>
      <c r="B43" s="502"/>
      <c r="C43" s="457"/>
      <c r="D43" s="440">
        <f>D39+1</f>
        <v>10</v>
      </c>
      <c r="E43" s="438" t="str">
        <f>IF(TEMPLATE_SPHERE="TKO","Адрес официального сайта организации в сети «Интернет»","Официальный сайт регулируемой организации"&amp;IF(TEMPLATE_SPHERE="HEAT",", ЕТО, ТО","")&amp;" в сети «Интернет»")</f>
        <v>Официальный сайт регулируемой организации, ЕТО, ТО в сети «Интернет»</v>
      </c>
      <c r="F43" s="862"/>
      <c r="G43" s="444" t="str">
        <f>"Указывается адрес официального сайта"&amp;IF(TEMPLATE_SPHERE&lt;&gt;"TKO"," регулируемой","")&amp;" организации"&amp;" в сети «Интернет». В случае отсутствия официального сайта"&amp;IF(TEMPLATE_SPHERE&lt;&gt;"TKO"," регулируемой","")&amp;" организации в сети «Интернет» указывается «Отсутствует»."</f>
        <v>Указывается адрес официального сайта регулируемой организации в сети «Интернет». В случае отсутствия официального сайта регулируемой организации в сети «Интернет» указывается «Отсутствует».</v>
      </c>
      <c r="H43" s="475"/>
      <c r="J43" s="455">
        <v>26</v>
      </c>
    </row>
    <row customHeight="1" ht="23.25">
      <c r="A44" s="457"/>
      <c r="B44" s="502"/>
      <c r="C44" s="457"/>
      <c r="D44" s="440">
        <f>D43+1</f>
        <v>11</v>
      </c>
      <c r="E44" s="438" t="str">
        <f>"Адрес электронной почты "&amp;IF(TEMPLATE_SPHERE="TKO","","регулируемой ")&amp;"организации"&amp;IF(TEMPLATE_SPHERE="HEAT",", ЕТО, ТО",IF(TEMPLATE_SPHERE="TKO"," (индивидуального предпринимателя)",""))</f>
        <v>Адрес электронной почты регулируемой организации, ЕТО, ТО</v>
      </c>
      <c r="F44" s="378"/>
      <c r="G44" s="474" t="s">
        <v>342</v>
      </c>
      <c r="H44" s="475"/>
      <c r="J44" s="455">
        <v>22</v>
      </c>
    </row>
    <row customHeight="1" ht="23.25">
      <c r="A45" s="457"/>
      <c r="B45" s="502"/>
      <c r="C45" s="457"/>
      <c r="D45" s="440">
        <f>D44+1</f>
        <v>12</v>
      </c>
      <c r="E45" s="438" t="s">
        <v>343</v>
      </c>
      <c r="F45" s="443" t="s">
        <v>308</v>
      </c>
      <c r="G45" s="437" t="str">
        <f>IF(TEMPLATE_SPHERE="TKO","Указывается режим работы организации.","")</f>
        <v/>
      </c>
      <c r="H45" s="475"/>
      <c r="J45" s="455">
        <v>22</v>
      </c>
    </row>
    <row customHeight="1" ht="24">
      <c r="A46" s="457"/>
      <c r="B46" s="502"/>
      <c r="C46" s="457"/>
      <c r="D46" s="440" t="str">
        <f>D45&amp;".1"</f>
        <v>12.1</v>
      </c>
      <c r="E46" s="442" t="str">
        <f>"режим работы регулируемой организации"&amp;IF(TEMPLATE_SPHERE="HEAT",", ЕТО, ТО","")</f>
        <v>режим работы регулируемой организации, ЕТО, ТО</v>
      </c>
      <c r="F46" s="1684"/>
      <c r="G46" s="437" t="s">
        <v>344</v>
      </c>
      <c r="H46" s="475"/>
      <c r="J46" s="455">
        <v>23</v>
      </c>
    </row>
    <row customHeight="1" ht="24">
      <c r="A47" s="2202"/>
      <c r="B47" s="502"/>
      <c r="C47" s="492"/>
      <c r="D47" s="440" t="str">
        <f>D45&amp;".2"</f>
        <v>12.2</v>
      </c>
      <c r="E47" s="442" t="s">
        <v>345</v>
      </c>
      <c r="F47" s="490"/>
      <c r="G47" s="437" t="s">
        <v>346</v>
      </c>
      <c r="H47" s="475"/>
      <c r="J47" s="455">
        <v>23</v>
      </c>
    </row>
    <row customHeight="1" ht="24">
      <c r="A48" s="2202"/>
      <c r="B48" s="502"/>
      <c r="C48" s="492"/>
      <c r="D48" s="440" t="str">
        <f>D45&amp;".3"</f>
        <v>12.3</v>
      </c>
      <c r="E48" s="442" t="s">
        <v>347</v>
      </c>
      <c r="F48" s="490"/>
      <c r="G48" s="437" t="s">
        <v>348</v>
      </c>
      <c r="H48" s="475"/>
      <c r="J48" s="455">
        <v>23</v>
      </c>
    </row>
    <row customHeight="1" ht="24">
      <c r="A49" s="2202"/>
      <c r="B49" s="502"/>
      <c r="C49" s="492"/>
      <c r="D49" s="440" t="str">
        <f>IF(TEMPLATE_SPHERE="TKO",D45&amp;".0",D45&amp;".4")</f>
        <v>12.4</v>
      </c>
      <c r="E49" s="436" t="s">
        <v>349</v>
      </c>
      <c r="F49" s="1685"/>
      <c r="G49" s="1762" t="s">
        <v>350</v>
      </c>
      <c r="H49" s="475"/>
      <c r="J49" s="455">
        <v>23</v>
      </c>
    </row>
    <row customHeight="1" ht="24">
      <c r="A50" s="457"/>
      <c r="B50" s="502"/>
      <c r="C50" s="457"/>
      <c r="D50" s="467"/>
      <c r="E50" s="415" t="s">
        <v>351</v>
      </c>
      <c r="F50" s="468"/>
      <c r="G50" s="1762" t="s">
        <v>352</v>
      </c>
      <c r="H50" s="476"/>
      <c r="J50" s="455">
        <v>23</v>
      </c>
    </row>
    <row customHeight="1" ht="24">
      <c r="A51" s="858"/>
      <c r="B51" s="502"/>
      <c r="C51" s="492"/>
      <c r="D51" s="440">
        <f>D45+1</f>
        <v>13</v>
      </c>
      <c r="E51" s="528" t="s">
        <v>353</v>
      </c>
      <c r="F51" s="490"/>
      <c r="G51" s="1689" t="str">
        <f>"Указывается наличие «да» или отсутствие «нет» утвержденной в установленном порядке инвестиционной программы"&amp;IF(TEMPLATE_SPHERE="HEAT","В соответствии с пунктом 1(1) Правил согласования и утверждения инвестиционных программ организаций, осуществляющих регулируемые виды деятельности в сфере теплоснабжения, "&amp;"а также требований к составу и содержанию таких программ (за исключением таких программ, утверждаемых "&amp;"в соответствии с законодательством российской федерации об электроэнергетике), утвержденных постановлением Правительства Российской Федерации от 05.05.2014 № 410, "&amp;"в ценовых зонах теплоснабжения инвестиционная программа в отношении деятельности по подключению (технологическому присоединению) к системе теплоснабжения не разрабатывается и не утверждается.","")</f>
        <v>Указывается наличие «да» или отсутствие «нет» утвержденной в установленном порядке инвестиционной программыВ соответствии с пунктом 1(1) Правил согласования и утверждения инвестиционных программ организаций, осуществляющих регулируемые виды деятельности в сфере теплоснабжения, а также требований к составу и содержанию таких программ (за исключением таких программ, утверждаемых в соответствии с законодательством российской федерации об электроэнергетике), утвержденных постановлением Правительства Российской Федерации от 05.05.2014 № 410, в ценовых зонах теплоснабжения инвестиционная программа в отношении деятельности по подключению (технологическому присоединению) к системе теплоснабжения не разрабатывается и не утверждается.</v>
      </c>
      <c r="H51" s="475"/>
      <c r="J51" s="455">
        <v>23</v>
      </c>
    </row>
    <row customHeight="1" ht="11.549999999999999">
      <c r="A52" s="457"/>
      <c r="B52" s="502"/>
      <c r="C52" s="457"/>
      <c r="J52" s="455">
        <v>11</v>
      </c>
    </row>
    <row s="460" customFormat="1" customHeight="1" ht="31.5">
      <c r="A53" s="1687"/>
      <c r="B53" s="503"/>
      <c r="C53" s="2203"/>
      <c r="D53" s="2206" t="str">
        <f>"В случае если регулируемая организация"&amp;IF(TEMPLATE_SPHERE="HEAT",", единая теплоснабжающая организация в ценовых зонах теплоснабжения, теплоснабжающая организация в ценовых зонах теплоснабжения и теплосетевая организация в ценовых зонах теплоснабжения","")&amp;" осуществляет несколько видов деятельности в сфере "&amp;TEMPLATE_SPHERE_RUS&amp;", информация о которых подлежит раскрытию в соответствии со Стандартами раскрытия информации в сфере "&amp;IF(TEMPLATE_SPHERE="HEAT","теплоснабжения","водоснабжения и водоотведения")&amp;", утвержденными постановлением Правительства Российской Федерации от 26.01.2023 № "&amp;IF(TEMPLATE_SPHERE="HEAT","110",IF(TEMPLATE_SPHERE="TKO","109 ""Об утверждении стандартов раскрытия информации в области обращения с твердыми коммунальными отходами""","108"))&amp;", информация по каждому виду деятельности раскрывается отдельно."</f>
        <v>В случае если регулируемая организация, единая теплоснабжающая организация в ценовых зонах теплоснабжения, теплоснабжающая организация в ценовых зонах теплоснабжения и теплосетевая организация в ценовых зонах теплоснабжения осуществляет несколько видов деятельности в сфере теплоснабжения, информация о которых подлежит раскрытию в соответствии со Стандартами раскрытия информации в сфере теплоснабжения, утвержденными постановлением Правительства Российской Федерации от 26.01.2023 № 110, информация по каждому виду деятельности раскрывается отдельно.</v>
      </c>
      <c r="E53" s="2206"/>
      <c r="F53" s="2206"/>
      <c r="G53" s="2206"/>
      <c r="H53" s="454"/>
      <c r="I53" s="454"/>
      <c r="J53" s="460">
        <v>30</v>
      </c>
    </row>
    <row s="460" customFormat="1" customHeight="1" ht="42">
      <c r="A54" s="457"/>
      <c r="B54" s="502"/>
      <c r="C54" s="2203"/>
      <c r="D54" s="2206" t="str">
        <f>IF(ORG_INFO_P_NOTE_MAIN=0,"",ORG_INFO_P_NOTE_MAIN)</f>
        <v>В случае если регулируемыми организациями,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оказываются услуги по теплоснабжению по нескольким технологически не связанным между собой централизованным системам теплоснабжения, и если в отношении указанных систем устанавливаются различные тарифы в сфере теплоснабжения, то информация раскрывается отдельно по каждой централизованной системе теплоснабжения.</v>
      </c>
      <c r="E54" s="2206"/>
      <c r="F54" s="2206"/>
      <c r="G54" s="2206"/>
      <c r="J54" s="460">
        <v>40</v>
      </c>
    </row>
    <row customHeight="1" ht="11.549999999999999">
      <c r="D55" s="458"/>
      <c r="E55" s="459"/>
      <c r="F55" s="459"/>
      <c r="G55" s="459"/>
      <c r="J55" s="455">
        <v>11</v>
      </c>
    </row>
    <row customHeight="1" ht="28.5">
      <c r="D56" s="461"/>
      <c r="E56" s="458"/>
      <c r="F56" s="470"/>
      <c r="G56" s="470"/>
      <c r="J56" s="455">
        <v>27</v>
      </c>
    </row>
    <row customHeight="1" ht="11.549999999999999">
      <c r="D57" s="458"/>
      <c r="E57" s="458"/>
      <c r="F57" s="459"/>
      <c r="G57" s="459"/>
      <c r="J57" s="455">
        <v>11</v>
      </c>
    </row>
    <row customHeight="1" ht="40.949999999999996">
      <c r="D58" s="462"/>
      <c r="E58" s="471"/>
      <c r="F58" s="471"/>
      <c r="G58" s="471"/>
      <c r="J58" s="455">
        <v>39</v>
      </c>
    </row>
    <row customHeight="1" ht="28.5">
      <c r="D59" s="462"/>
      <c r="E59" s="471"/>
      <c r="F59" s="471"/>
      <c r="G59" s="471"/>
      <c r="J59" s="455">
        <v>27</v>
      </c>
    </row>
    <row customHeight="1" ht="11.25" hidden="1">
      <c r="A60" s="1686" t="s">
        <v>82</v>
      </c>
      <c r="B60" s="501">
        <v>0</v>
      </c>
      <c r="C60" s="455">
        <v>3</v>
      </c>
      <c r="D60" s="456">
        <v>6</v>
      </c>
      <c r="E60" s="455">
        <v>52</v>
      </c>
      <c r="F60" s="455">
        <v>48</v>
      </c>
      <c r="G60" s="455">
        <v>121</v>
      </c>
      <c r="H60" s="455">
        <v>8</v>
      </c>
      <c r="I60" s="455">
        <v>64</v>
      </c>
      <c r="J60" s="455">
        <v>11</v>
      </c>
    </row>
  </sheetData>
  <sheetProtection formatColumns="0" formatRows="0" sort="0" autoFilter="0" insertRows="0" insertColumns="1" deleteRows="0" deleteColumns="0"/>
  <mergeCells count="12">
    <mergeCell ref="D4:F4"/>
    <mergeCell ref="A47:A49"/>
    <mergeCell ref="C53:C54"/>
    <mergeCell ref="D8:F8"/>
    <mergeCell ref="D53:G53"/>
    <mergeCell ref="D54:G54"/>
    <mergeCell ref="E7:F7"/>
    <mergeCell ref="G8:G9"/>
    <mergeCell ref="D5:F5"/>
    <mergeCell ref="G39:G42"/>
    <mergeCell ref="A19:A23"/>
    <mergeCell ref="C19:C23"/>
  </mergeCells>
  <dataValidations count="3">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F51 F46:F49">
      <formula1>"a"</formula1>
    </dataValidation>
    <dataValidation type="textLength" operator="lessThanOrEqual" allowBlank="1" showInputMessage="1" showErrorMessage="1" errorTitle="Ошибка" error="Допускается ввод не более 900 символов!" sqref="F13 F43:F44 F27:F32 F16 E40:F41 F18 F20 F34:F38 F22:F23">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F21 F17"/>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7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0221EFE-EBDE-4C88-5B5B-EDFAECFFF90C}"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0694479-81C9-D375-718A-557EC5B8CC1A}"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05CB796-F656-CBCE-25EB-D7B4CFFC93B5}" mc:Ignorable="x14ac xr xr2 xr3">
  <sheetPr>
    <tabColor rgb="FFFFCC99"/>
  </sheetPr>
  <dimension ref="A1:A1"/>
  <sheetViews>
    <sheetView topLeftCell="A1" showGridLines="0" workbookViewId="0">
      <selection activeCell="A1" sqref="A1"/>
    </sheetView>
  </sheetViews>
  <sheetFormatPr customHeight="1" defaultRowHeight="11.25"/>
  <sheetData>
    <row customHeight="1" ht="11.25">
      <c r="A1" s="66"/>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03F6A44-46AB-D85B-07A6-DC9CACAA2E0D}" mc:Ignorable="x14ac xr xr2 xr3">
  <dimension ref="A1:E8"/>
  <sheetViews>
    <sheetView topLeftCell="A1" showGridLines="0" workbookViewId="0">
      <selection activeCell="A1" sqref="A1"/>
    </sheetView>
  </sheetViews>
  <sheetFormatPr customHeight="1" defaultRowHeight="11.25"/>
  <cols>
    <col min="1" max="1" style="64" width="10.57421875" customWidth="1"/>
    <col min="2" max="2" style="64" width="8.7109375" customWidth="1"/>
    <col min="3" max="3" style="64" width="18.140625" customWidth="1"/>
    <col min="4" max="4" style="64" width="12.57421875" customWidth="1"/>
  </cols>
  <sheetData>
    <row customHeight="1" ht="11.25">
      <c r="A1" s="2615" t="s">
        <v>2232</v>
      </c>
      <c r="B1" s="2616" t="s">
        <v>2233</v>
      </c>
      <c r="C1" s="2617" t="s">
        <v>2234</v>
      </c>
      <c r="D1" s="2618"/>
      <c r="E1" s="836" t="s">
        <v>2235</v>
      </c>
    </row>
    <row customHeight="1" ht="11.25">
      <c r="A2" s="2619"/>
      <c r="B2" s="765" t="s">
        <v>27</v>
      </c>
      <c r="C2" s="753"/>
      <c r="D2" s="764"/>
      <c r="E2" s="836"/>
    </row>
    <row customHeight="1" ht="11.25">
      <c r="A3" s="2620"/>
      <c r="B3" s="2621" t="s">
        <v>33</v>
      </c>
      <c r="C3" s="753"/>
      <c r="D3" s="764"/>
      <c r="E3" s="836"/>
    </row>
    <row customHeight="1" ht="11.25">
      <c r="A4" s="2622"/>
      <c r="B4" s="766" t="s">
        <v>1660</v>
      </c>
      <c r="C4" s="753"/>
      <c r="D4" s="764"/>
      <c r="E4" s="836"/>
    </row>
    <row customHeight="1" ht="11.25">
      <c r="A5" s="2623"/>
      <c r="B5" s="766" t="s">
        <v>1654</v>
      </c>
      <c r="C5" s="2624" t="s">
        <v>1999</v>
      </c>
      <c r="D5" s="2625" t="s">
        <v>2236</v>
      </c>
      <c r="E5" s="836"/>
    </row>
    <row s="1850" customFormat="1" customHeight="1" ht="11.25">
      <c r="A6" s="2626"/>
      <c r="B6" s="766" t="s">
        <v>1664</v>
      </c>
      <c r="C6" s="753"/>
      <c r="D6" s="764"/>
      <c r="E6" s="836"/>
    </row>
    <row customHeight="1" ht="11.25">
      <c r="A7" s="2627"/>
      <c r="B7" s="766" t="s">
        <v>1672</v>
      </c>
      <c r="C7" s="753"/>
      <c r="D7" s="764"/>
      <c r="E7" s="836"/>
    </row>
    <row customHeight="1" ht="11.25">
      <c r="A8" s="756"/>
      <c r="B8" s="766" t="s">
        <v>1667</v>
      </c>
      <c r="C8" s="753"/>
      <c r="D8" s="764"/>
      <c r="E8" s="836"/>
    </row>
  </sheetData>
  <sheetProtection formatColumns="0" formatRows="0" autoFilter="0" sort="0" insertRows="0" insertColumns="1" deleteRows="0" deleteColumns="0"/>
  <mergeCells count="1">
    <mergeCell ref="C1:D1"/>
  </mergeCell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D9851A7-9D4D-11F5-8EA7-13BA653FD782}"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0ACA50B-FCCB-8B63-2BAE-9F26D8702046}"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3F43CD5-6C66-EB94-139D-DB1DE155746E}" mc:Ignorable="x14ac xr xr2 xr3">
  <sheetPr>
    <tabColor rgb="FFFFCC99"/>
  </sheetPr>
  <dimension ref="A1:I646"/>
  <sheetViews>
    <sheetView topLeftCell="A1" showGridLines="0" workbookViewId="0">
      <selection activeCell="A1" sqref="A1"/>
    </sheetView>
  </sheetViews>
  <sheetFormatPr defaultColWidth="9.140625" customHeight="1" defaultRowHeight="11.25"/>
  <cols>
    <col min="1" max="2" style="1850" width="9.140625"/>
    <col min="3" max="3" style="1850" width="20.7109375" customWidth="1"/>
    <col min="4" max="4" style="1850" width="25.140625" customWidth="1"/>
    <col min="5" max="9" style="1850" width="9.140625"/>
  </cols>
  <sheetData>
    <row customHeight="1" ht="11.25">
      <c r="A1" s="68" t="s">
        <v>2237</v>
      </c>
      <c r="B1" s="68" t="s">
        <v>2238</v>
      </c>
      <c r="C1" s="68" t="s">
        <v>2239</v>
      </c>
      <c r="D1" s="68" t="s">
        <v>2240</v>
      </c>
      <c r="E1" s="68" t="s">
        <v>2241</v>
      </c>
      <c r="F1" s="68" t="s">
        <v>2242</v>
      </c>
      <c r="G1" s="68" t="s">
        <v>2243</v>
      </c>
      <c r="H1" s="68" t="s">
        <v>2244</v>
      </c>
      <c r="I1" s="68" t="s">
        <v>2245</v>
      </c>
    </row>
    <row customHeight="1" ht="11.25">
      <c r="A2" s="1850" t="s">
        <v>2246</v>
      </c>
      <c r="B2" s="1850" t="s">
        <v>16</v>
      </c>
      <c r="C2" s="1850" t="s">
        <v>2247</v>
      </c>
      <c r="D2" s="1850" t="s">
        <v>2248</v>
      </c>
      <c r="E2" s="1850" t="s">
        <v>2249</v>
      </c>
      <c r="F2" s="1850" t="s">
        <v>2250</v>
      </c>
      <c r="G2" s="1850" t="s">
        <v>22</v>
      </c>
      <c r="H2" s="1850" t="s">
        <v>22</v>
      </c>
      <c r="I2" s="1850" t="s">
        <v>810</v>
      </c>
    </row>
    <row customHeight="1" ht="11.25">
      <c r="A3" s="1850" t="s">
        <v>2246</v>
      </c>
      <c r="B3" s="1850" t="s">
        <v>16</v>
      </c>
      <c r="C3" s="1850" t="s">
        <v>2251</v>
      </c>
      <c r="D3" s="1850" t="s">
        <v>2252</v>
      </c>
      <c r="E3" s="1850" t="s">
        <v>2253</v>
      </c>
      <c r="F3" s="1850" t="s">
        <v>2254</v>
      </c>
      <c r="G3" s="1850" t="s">
        <v>22</v>
      </c>
      <c r="H3" s="1850" t="s">
        <v>22</v>
      </c>
      <c r="I3" s="1850" t="s">
        <v>810</v>
      </c>
    </row>
    <row customHeight="1" ht="11.25">
      <c r="A4" s="1850" t="s">
        <v>2246</v>
      </c>
      <c r="B4" s="1850" t="s">
        <v>16</v>
      </c>
      <c r="C4" s="1850" t="s">
        <v>2255</v>
      </c>
      <c r="D4" s="1850" t="s">
        <v>2256</v>
      </c>
      <c r="E4" s="1850" t="s">
        <v>2257</v>
      </c>
      <c r="F4" s="1850" t="s">
        <v>2254</v>
      </c>
      <c r="G4" s="1850" t="s">
        <v>22</v>
      </c>
      <c r="H4" s="1850" t="s">
        <v>22</v>
      </c>
      <c r="I4" s="1850" t="s">
        <v>810</v>
      </c>
    </row>
    <row customHeight="1" ht="11.25">
      <c r="A5" s="1850" t="s">
        <v>2246</v>
      </c>
      <c r="B5" s="1850" t="s">
        <v>16</v>
      </c>
      <c r="C5" s="1850" t="s">
        <v>2258</v>
      </c>
      <c r="D5" s="1850" t="s">
        <v>2259</v>
      </c>
      <c r="E5" s="1850" t="s">
        <v>2260</v>
      </c>
      <c r="F5" s="1850" t="s">
        <v>2261</v>
      </c>
      <c r="G5" s="1850" t="s">
        <v>2262</v>
      </c>
      <c r="H5" s="1850" t="s">
        <v>22</v>
      </c>
      <c r="I5" s="1850" t="s">
        <v>810</v>
      </c>
    </row>
    <row customHeight="1" ht="11.25">
      <c r="A6" s="1850" t="s">
        <v>2246</v>
      </c>
      <c r="B6" s="1850" t="s">
        <v>16</v>
      </c>
      <c r="C6" s="1850" t="s">
        <v>2263</v>
      </c>
      <c r="D6" s="1850" t="s">
        <v>2264</v>
      </c>
      <c r="E6" s="1850" t="s">
        <v>2265</v>
      </c>
      <c r="F6" s="1850" t="s">
        <v>2254</v>
      </c>
      <c r="G6" s="1850" t="s">
        <v>2266</v>
      </c>
      <c r="H6" s="1850" t="s">
        <v>22</v>
      </c>
      <c r="I6" s="1850" t="s">
        <v>810</v>
      </c>
    </row>
    <row customHeight="1" ht="11.25">
      <c r="A7" s="1850" t="s">
        <v>2246</v>
      </c>
      <c r="B7" s="1850" t="s">
        <v>16</v>
      </c>
      <c r="C7" s="1850" t="s">
        <v>2267</v>
      </c>
      <c r="D7" s="1850" t="s">
        <v>2268</v>
      </c>
      <c r="E7" s="1850" t="s">
        <v>2269</v>
      </c>
      <c r="F7" s="1850" t="s">
        <v>2254</v>
      </c>
      <c r="G7" s="1850" t="s">
        <v>2270</v>
      </c>
      <c r="H7" s="1850" t="s">
        <v>22</v>
      </c>
      <c r="I7" s="1850" t="s">
        <v>810</v>
      </c>
    </row>
    <row customHeight="1" ht="11.25">
      <c r="A8" s="1850" t="s">
        <v>2246</v>
      </c>
      <c r="B8" s="1850" t="s">
        <v>16</v>
      </c>
      <c r="C8" s="1850" t="s">
        <v>2271</v>
      </c>
      <c r="D8" s="1850" t="s">
        <v>2272</v>
      </c>
      <c r="E8" s="1850" t="s">
        <v>2273</v>
      </c>
      <c r="F8" s="1850" t="s">
        <v>2254</v>
      </c>
      <c r="G8" s="1850" t="s">
        <v>2274</v>
      </c>
      <c r="H8" s="1850" t="s">
        <v>22</v>
      </c>
      <c r="I8" s="1850" t="s">
        <v>810</v>
      </c>
    </row>
    <row customHeight="1" ht="11.25">
      <c r="A9" s="1850" t="s">
        <v>2246</v>
      </c>
      <c r="B9" s="1850" t="s">
        <v>16</v>
      </c>
      <c r="C9" s="1850" t="s">
        <v>2275</v>
      </c>
      <c r="D9" s="1850" t="s">
        <v>2276</v>
      </c>
      <c r="E9" s="1850" t="s">
        <v>2273</v>
      </c>
      <c r="F9" s="1850" t="s">
        <v>2277</v>
      </c>
      <c r="G9" s="1850" t="s">
        <v>2274</v>
      </c>
      <c r="H9" s="1850" t="s">
        <v>22</v>
      </c>
      <c r="I9" s="1850" t="s">
        <v>810</v>
      </c>
    </row>
    <row customHeight="1" ht="11.25">
      <c r="A10" s="1850" t="s">
        <v>2246</v>
      </c>
      <c r="B10" s="1850" t="s">
        <v>16</v>
      </c>
      <c r="C10" s="1850" t="s">
        <v>2278</v>
      </c>
      <c r="D10" s="1850" t="s">
        <v>2279</v>
      </c>
      <c r="E10" s="1850" t="s">
        <v>2273</v>
      </c>
      <c r="F10" s="1850" t="s">
        <v>2280</v>
      </c>
      <c r="G10" s="1850" t="s">
        <v>2274</v>
      </c>
      <c r="H10" s="1850" t="s">
        <v>22</v>
      </c>
      <c r="I10" s="1850" t="s">
        <v>810</v>
      </c>
    </row>
    <row customHeight="1" ht="11.25">
      <c r="A11" s="1850" t="s">
        <v>2246</v>
      </c>
      <c r="B11" s="1850" t="s">
        <v>16</v>
      </c>
      <c r="C11" s="1850" t="s">
        <v>2281</v>
      </c>
      <c r="D11" s="1850" t="s">
        <v>2282</v>
      </c>
      <c r="E11" s="1850" t="s">
        <v>2273</v>
      </c>
      <c r="F11" s="1850" t="s">
        <v>2283</v>
      </c>
      <c r="G11" s="1850" t="s">
        <v>2284</v>
      </c>
      <c r="H11" s="1850" t="s">
        <v>22</v>
      </c>
      <c r="I11" s="1850" t="s">
        <v>810</v>
      </c>
    </row>
    <row customHeight="1" ht="11.25">
      <c r="A12" s="1850" t="s">
        <v>2246</v>
      </c>
      <c r="B12" s="1850" t="s">
        <v>16</v>
      </c>
      <c r="C12" s="1850" t="s">
        <v>2285</v>
      </c>
      <c r="D12" s="1850" t="s">
        <v>2286</v>
      </c>
      <c r="E12" s="1850" t="s">
        <v>2287</v>
      </c>
      <c r="F12" s="1850" t="s">
        <v>2254</v>
      </c>
      <c r="G12" s="1850" t="s">
        <v>22</v>
      </c>
      <c r="H12" s="1850" t="s">
        <v>22</v>
      </c>
      <c r="I12" s="1850" t="s">
        <v>810</v>
      </c>
    </row>
    <row customHeight="1" ht="11.25">
      <c r="A13" s="1850" t="s">
        <v>2246</v>
      </c>
      <c r="B13" s="1850" t="s">
        <v>16</v>
      </c>
      <c r="C13" s="1850" t="s">
        <v>2288</v>
      </c>
      <c r="D13" s="1850" t="s">
        <v>2289</v>
      </c>
      <c r="E13" s="1850" t="s">
        <v>2290</v>
      </c>
      <c r="F13" s="1850" t="s">
        <v>2291</v>
      </c>
      <c r="G13" s="1850" t="s">
        <v>22</v>
      </c>
      <c r="H13" s="1850" t="s">
        <v>22</v>
      </c>
      <c r="I13" s="1850" t="s">
        <v>810</v>
      </c>
    </row>
    <row customHeight="1" ht="11.25">
      <c r="A14" s="1850" t="s">
        <v>2246</v>
      </c>
      <c r="B14" s="1850" t="s">
        <v>16</v>
      </c>
      <c r="C14" s="1850" t="s">
        <v>2292</v>
      </c>
      <c r="D14" s="1850" t="s">
        <v>2293</v>
      </c>
      <c r="E14" s="1850" t="s">
        <v>2294</v>
      </c>
      <c r="F14" s="1850" t="s">
        <v>2254</v>
      </c>
      <c r="G14" s="1850" t="s">
        <v>22</v>
      </c>
      <c r="H14" s="1850" t="s">
        <v>22</v>
      </c>
      <c r="I14" s="1850" t="s">
        <v>810</v>
      </c>
    </row>
    <row customHeight="1" ht="11.25">
      <c r="A15" s="1850" t="s">
        <v>2246</v>
      </c>
      <c r="B15" s="1850" t="s">
        <v>16</v>
      </c>
      <c r="C15" s="1850" t="s">
        <v>2295</v>
      </c>
      <c r="D15" s="1850" t="s">
        <v>2296</v>
      </c>
      <c r="E15" s="1850" t="s">
        <v>2297</v>
      </c>
      <c r="F15" s="1850" t="s">
        <v>2298</v>
      </c>
      <c r="G15" s="1850" t="s">
        <v>2299</v>
      </c>
      <c r="H15" s="1850" t="s">
        <v>22</v>
      </c>
      <c r="I15" s="1850" t="s">
        <v>810</v>
      </c>
    </row>
    <row customHeight="1" ht="11.25">
      <c r="A16" s="1850" t="s">
        <v>2246</v>
      </c>
      <c r="B16" s="1850" t="s">
        <v>16</v>
      </c>
      <c r="C16" s="1850" t="s">
        <v>2300</v>
      </c>
      <c r="D16" s="1850" t="s">
        <v>2301</v>
      </c>
      <c r="E16" s="1850" t="s">
        <v>2302</v>
      </c>
      <c r="F16" s="1850" t="s">
        <v>2291</v>
      </c>
      <c r="G16" s="1850" t="s">
        <v>22</v>
      </c>
      <c r="H16" s="1850" t="s">
        <v>22</v>
      </c>
      <c r="I16" s="1850" t="s">
        <v>810</v>
      </c>
    </row>
    <row customHeight="1" ht="11.25">
      <c r="A17" s="1850" t="s">
        <v>2246</v>
      </c>
      <c r="B17" s="1850" t="s">
        <v>16</v>
      </c>
      <c r="C17" s="1850" t="s">
        <v>2303</v>
      </c>
      <c r="D17" s="1850" t="s">
        <v>2304</v>
      </c>
      <c r="E17" s="1850" t="s">
        <v>2305</v>
      </c>
      <c r="F17" s="1850" t="s">
        <v>2306</v>
      </c>
      <c r="G17" s="1850" t="s">
        <v>22</v>
      </c>
      <c r="H17" s="1850" t="s">
        <v>22</v>
      </c>
      <c r="I17" s="1850" t="s">
        <v>810</v>
      </c>
    </row>
    <row customHeight="1" ht="11.25">
      <c r="A18" s="1850" t="s">
        <v>2246</v>
      </c>
      <c r="B18" s="1850" t="s">
        <v>16</v>
      </c>
      <c r="C18" s="1850" t="s">
        <v>2307</v>
      </c>
      <c r="D18" s="1850" t="s">
        <v>2308</v>
      </c>
      <c r="E18" s="1850" t="s">
        <v>2309</v>
      </c>
      <c r="F18" s="1850" t="s">
        <v>2254</v>
      </c>
      <c r="G18" s="1850" t="s">
        <v>22</v>
      </c>
      <c r="H18" s="1850" t="s">
        <v>22</v>
      </c>
      <c r="I18" s="1850" t="s">
        <v>810</v>
      </c>
    </row>
    <row customHeight="1" ht="11.25">
      <c r="A19" s="1850" t="s">
        <v>2246</v>
      </c>
      <c r="B19" s="1850" t="s">
        <v>16</v>
      </c>
      <c r="C19" s="1850" t="s">
        <v>2310</v>
      </c>
      <c r="D19" s="1850" t="s">
        <v>2311</v>
      </c>
      <c r="E19" s="1850" t="s">
        <v>2312</v>
      </c>
      <c r="F19" s="1850" t="s">
        <v>2313</v>
      </c>
      <c r="G19" s="1850" t="s">
        <v>2314</v>
      </c>
      <c r="H19" s="1850" t="s">
        <v>22</v>
      </c>
      <c r="I19" s="1850" t="s">
        <v>810</v>
      </c>
    </row>
    <row customHeight="1" ht="11.25">
      <c r="A20" s="1850" t="s">
        <v>2246</v>
      </c>
      <c r="B20" s="1850" t="s">
        <v>16</v>
      </c>
      <c r="C20" s="1850" t="s">
        <v>2315</v>
      </c>
      <c r="D20" s="1850" t="s">
        <v>2316</v>
      </c>
      <c r="E20" s="1850" t="s">
        <v>2317</v>
      </c>
      <c r="F20" s="1850" t="s">
        <v>2313</v>
      </c>
      <c r="G20" s="1850" t="s">
        <v>22</v>
      </c>
      <c r="H20" s="1850" t="s">
        <v>22</v>
      </c>
      <c r="I20" s="1850" t="s">
        <v>810</v>
      </c>
    </row>
    <row customHeight="1" ht="11.25">
      <c r="A21" s="1850" t="s">
        <v>2246</v>
      </c>
      <c r="B21" s="1850" t="s">
        <v>16</v>
      </c>
      <c r="C21" s="1850" t="s">
        <v>2318</v>
      </c>
      <c r="D21" s="1850" t="s">
        <v>2319</v>
      </c>
      <c r="E21" s="1850" t="s">
        <v>2320</v>
      </c>
      <c r="F21" s="1850" t="s">
        <v>2321</v>
      </c>
      <c r="G21" s="1850" t="s">
        <v>22</v>
      </c>
      <c r="H21" s="1850" t="s">
        <v>22</v>
      </c>
      <c r="I21" s="1850" t="s">
        <v>810</v>
      </c>
    </row>
    <row customHeight="1" ht="11.25">
      <c r="A22" s="1850" t="s">
        <v>2246</v>
      </c>
      <c r="B22" s="1850" t="s">
        <v>16</v>
      </c>
      <c r="C22" s="1850" t="s">
        <v>2322</v>
      </c>
      <c r="D22" s="1850" t="s">
        <v>2323</v>
      </c>
      <c r="E22" s="1850" t="s">
        <v>2324</v>
      </c>
      <c r="F22" s="1850" t="s">
        <v>2254</v>
      </c>
      <c r="G22" s="1850" t="s">
        <v>22</v>
      </c>
      <c r="H22" s="1850" t="s">
        <v>22</v>
      </c>
      <c r="I22" s="1850" t="s">
        <v>810</v>
      </c>
    </row>
    <row customHeight="1" ht="11.25">
      <c r="A23" s="1850" t="s">
        <v>2246</v>
      </c>
      <c r="B23" s="1850" t="s">
        <v>16</v>
      </c>
      <c r="C23" s="1850" t="s">
        <v>2325</v>
      </c>
      <c r="D23" s="1850" t="s">
        <v>2326</v>
      </c>
      <c r="E23" s="1850" t="s">
        <v>2327</v>
      </c>
      <c r="F23" s="1850" t="s">
        <v>2306</v>
      </c>
      <c r="G23" s="1850" t="s">
        <v>22</v>
      </c>
      <c r="H23" s="1850" t="s">
        <v>22</v>
      </c>
      <c r="I23" s="1850" t="s">
        <v>810</v>
      </c>
    </row>
    <row customHeight="1" ht="11.25">
      <c r="A24" s="1850" t="s">
        <v>2246</v>
      </c>
      <c r="B24" s="1850" t="s">
        <v>16</v>
      </c>
      <c r="C24" s="1850" t="s">
        <v>2328</v>
      </c>
      <c r="D24" s="1850" t="s">
        <v>2329</v>
      </c>
      <c r="E24" s="1850" t="s">
        <v>2330</v>
      </c>
      <c r="F24" s="1850" t="s">
        <v>2331</v>
      </c>
      <c r="G24" s="1850" t="s">
        <v>22</v>
      </c>
      <c r="H24" s="1850" t="s">
        <v>22</v>
      </c>
      <c r="I24" s="1850" t="s">
        <v>810</v>
      </c>
    </row>
    <row customHeight="1" ht="11.25">
      <c r="A25" s="1850" t="s">
        <v>2246</v>
      </c>
      <c r="B25" s="1850" t="s">
        <v>16</v>
      </c>
      <c r="C25" s="1850" t="s">
        <v>2332</v>
      </c>
      <c r="D25" s="1850" t="s">
        <v>2333</v>
      </c>
      <c r="E25" s="1850" t="s">
        <v>2334</v>
      </c>
      <c r="F25" s="1850" t="s">
        <v>2335</v>
      </c>
      <c r="G25" s="1850" t="s">
        <v>22</v>
      </c>
      <c r="H25" s="1850" t="s">
        <v>22</v>
      </c>
      <c r="I25" s="1850" t="s">
        <v>810</v>
      </c>
    </row>
    <row customHeight="1" ht="11.25">
      <c r="A26" s="1850" t="s">
        <v>2246</v>
      </c>
      <c r="B26" s="1850" t="s">
        <v>16</v>
      </c>
      <c r="C26" s="1850" t="s">
        <v>2336</v>
      </c>
      <c r="D26" s="1850" t="s">
        <v>2337</v>
      </c>
      <c r="E26" s="1850" t="s">
        <v>2338</v>
      </c>
      <c r="F26" s="1850" t="s">
        <v>2254</v>
      </c>
      <c r="G26" s="1850" t="s">
        <v>22</v>
      </c>
      <c r="H26" s="1850" t="s">
        <v>22</v>
      </c>
      <c r="I26" s="1850" t="s">
        <v>810</v>
      </c>
    </row>
    <row customHeight="1" ht="11.25">
      <c r="A27" s="1850" t="s">
        <v>2246</v>
      </c>
      <c r="B27" s="1850" t="s">
        <v>16</v>
      </c>
      <c r="C27" s="1850" t="s">
        <v>2339</v>
      </c>
      <c r="D27" s="1850" t="s">
        <v>2340</v>
      </c>
      <c r="E27" s="1850" t="s">
        <v>2341</v>
      </c>
      <c r="F27" s="1850" t="s">
        <v>2313</v>
      </c>
      <c r="G27" s="1850" t="s">
        <v>22</v>
      </c>
      <c r="H27" s="1850" t="s">
        <v>22</v>
      </c>
      <c r="I27" s="1850" t="s">
        <v>810</v>
      </c>
    </row>
    <row customHeight="1" ht="11.25">
      <c r="A28" s="1850" t="s">
        <v>2246</v>
      </c>
      <c r="B28" s="1850" t="s">
        <v>16</v>
      </c>
      <c r="C28" s="1850" t="s">
        <v>2342</v>
      </c>
      <c r="D28" s="1850" t="s">
        <v>2343</v>
      </c>
      <c r="E28" s="1850" t="s">
        <v>2344</v>
      </c>
      <c r="F28" s="1850" t="s">
        <v>2345</v>
      </c>
      <c r="G28" s="1850" t="s">
        <v>22</v>
      </c>
      <c r="H28" s="1850" t="s">
        <v>22</v>
      </c>
      <c r="I28" s="1850" t="s">
        <v>810</v>
      </c>
    </row>
    <row customHeight="1" ht="11.25">
      <c r="A29" s="1850" t="s">
        <v>2246</v>
      </c>
      <c r="B29" s="1850" t="s">
        <v>16</v>
      </c>
      <c r="C29" s="1850" t="s">
        <v>2346</v>
      </c>
      <c r="D29" s="1850" t="s">
        <v>2347</v>
      </c>
      <c r="E29" s="1850" t="s">
        <v>2348</v>
      </c>
      <c r="F29" s="1850" t="s">
        <v>2349</v>
      </c>
      <c r="G29" s="1850" t="s">
        <v>22</v>
      </c>
      <c r="H29" s="1850" t="s">
        <v>22</v>
      </c>
      <c r="I29" s="1850" t="s">
        <v>810</v>
      </c>
    </row>
    <row customHeight="1" ht="11.25">
      <c r="A30" s="1850" t="s">
        <v>2246</v>
      </c>
      <c r="B30" s="1850" t="s">
        <v>16</v>
      </c>
      <c r="C30" s="1850" t="s">
        <v>2350</v>
      </c>
      <c r="D30" s="1850" t="s">
        <v>2351</v>
      </c>
      <c r="E30" s="1850" t="s">
        <v>2352</v>
      </c>
      <c r="F30" s="1850" t="s">
        <v>2353</v>
      </c>
      <c r="G30" s="1850" t="s">
        <v>2354</v>
      </c>
      <c r="H30" s="1850" t="s">
        <v>22</v>
      </c>
      <c r="I30" s="1850" t="s">
        <v>810</v>
      </c>
    </row>
    <row customHeight="1" ht="11.25">
      <c r="A31" s="1850" t="s">
        <v>2246</v>
      </c>
      <c r="B31" s="1850" t="s">
        <v>16</v>
      </c>
      <c r="C31" s="1850" t="s">
        <v>2355</v>
      </c>
      <c r="D31" s="1850" t="s">
        <v>2356</v>
      </c>
      <c r="E31" s="1850" t="s">
        <v>2357</v>
      </c>
      <c r="F31" s="1850" t="s">
        <v>2331</v>
      </c>
      <c r="G31" s="1850" t="s">
        <v>22</v>
      </c>
      <c r="H31" s="1850" t="s">
        <v>22</v>
      </c>
      <c r="I31" s="1850" t="s">
        <v>810</v>
      </c>
    </row>
    <row customHeight="1" ht="11.25">
      <c r="A32" s="1850" t="s">
        <v>2246</v>
      </c>
      <c r="B32" s="1850" t="s">
        <v>16</v>
      </c>
      <c r="C32" s="1850" t="s">
        <v>2358</v>
      </c>
      <c r="D32" s="1850" t="s">
        <v>2359</v>
      </c>
      <c r="E32" s="1850" t="s">
        <v>2360</v>
      </c>
      <c r="F32" s="1850" t="s">
        <v>2361</v>
      </c>
      <c r="G32" s="1850" t="s">
        <v>22</v>
      </c>
      <c r="H32" s="1850" t="s">
        <v>22</v>
      </c>
      <c r="I32" s="1850" t="s">
        <v>810</v>
      </c>
    </row>
    <row customHeight="1" ht="11.25">
      <c r="A33" s="1850" t="s">
        <v>2246</v>
      </c>
      <c r="B33" s="1850" t="s">
        <v>16</v>
      </c>
      <c r="C33" s="1850" t="s">
        <v>2362</v>
      </c>
      <c r="D33" s="1850" t="s">
        <v>2363</v>
      </c>
      <c r="E33" s="1850" t="s">
        <v>2364</v>
      </c>
      <c r="F33" s="1850" t="s">
        <v>2365</v>
      </c>
      <c r="G33" s="1850" t="s">
        <v>22</v>
      </c>
      <c r="H33" s="1850" t="s">
        <v>22</v>
      </c>
      <c r="I33" s="1850" t="s">
        <v>810</v>
      </c>
    </row>
    <row customHeight="1" ht="11.25">
      <c r="A34" s="1850" t="s">
        <v>2246</v>
      </c>
      <c r="B34" s="1850" t="s">
        <v>16</v>
      </c>
      <c r="C34" s="1850" t="s">
        <v>2366</v>
      </c>
      <c r="D34" s="1850" t="s">
        <v>2367</v>
      </c>
      <c r="E34" s="1850" t="s">
        <v>2368</v>
      </c>
      <c r="F34" s="1850" t="s">
        <v>2361</v>
      </c>
      <c r="G34" s="1850" t="s">
        <v>2369</v>
      </c>
      <c r="H34" s="1850" t="s">
        <v>22</v>
      </c>
      <c r="I34" s="1850" t="s">
        <v>810</v>
      </c>
    </row>
    <row customHeight="1" ht="11.25">
      <c r="A35" s="1850" t="s">
        <v>2246</v>
      </c>
      <c r="B35" s="1850" t="s">
        <v>16</v>
      </c>
      <c r="C35" s="1850" t="s">
        <v>2370</v>
      </c>
      <c r="D35" s="1850" t="s">
        <v>2371</v>
      </c>
      <c r="E35" s="1850" t="s">
        <v>2372</v>
      </c>
      <c r="F35" s="1850" t="s">
        <v>2313</v>
      </c>
      <c r="G35" s="1850" t="s">
        <v>22</v>
      </c>
      <c r="H35" s="1850" t="s">
        <v>22</v>
      </c>
      <c r="I35" s="1850" t="s">
        <v>810</v>
      </c>
    </row>
    <row customHeight="1" ht="11.25">
      <c r="A36" s="1850" t="s">
        <v>2246</v>
      </c>
      <c r="B36" s="1850" t="s">
        <v>16</v>
      </c>
      <c r="C36" s="1850" t="s">
        <v>2373</v>
      </c>
      <c r="D36" s="1850" t="s">
        <v>2374</v>
      </c>
      <c r="E36" s="1850" t="s">
        <v>2375</v>
      </c>
      <c r="F36" s="1850" t="s">
        <v>2313</v>
      </c>
      <c r="G36" s="1850" t="s">
        <v>2376</v>
      </c>
      <c r="H36" s="1850" t="s">
        <v>22</v>
      </c>
      <c r="I36" s="1850" t="s">
        <v>810</v>
      </c>
    </row>
    <row customHeight="1" ht="11.25">
      <c r="A37" s="1850" t="s">
        <v>2246</v>
      </c>
      <c r="B37" s="1850" t="s">
        <v>16</v>
      </c>
      <c r="C37" s="1850" t="s">
        <v>2377</v>
      </c>
      <c r="D37" s="1850" t="s">
        <v>2378</v>
      </c>
      <c r="E37" s="1850" t="s">
        <v>2379</v>
      </c>
      <c r="F37" s="1850" t="s">
        <v>2313</v>
      </c>
      <c r="G37" s="1850" t="s">
        <v>22</v>
      </c>
      <c r="H37" s="1850" t="s">
        <v>22</v>
      </c>
      <c r="I37" s="1850" t="s">
        <v>810</v>
      </c>
    </row>
    <row customHeight="1" ht="11.25">
      <c r="A38" s="1850" t="s">
        <v>2246</v>
      </c>
      <c r="B38" s="1850" t="s">
        <v>16</v>
      </c>
      <c r="C38" s="1850" t="s">
        <v>2380</v>
      </c>
      <c r="D38" s="1850" t="s">
        <v>2381</v>
      </c>
      <c r="E38" s="1850" t="s">
        <v>2382</v>
      </c>
      <c r="F38" s="1850" t="s">
        <v>2383</v>
      </c>
      <c r="G38" s="1850" t="s">
        <v>22</v>
      </c>
      <c r="H38" s="1850" t="s">
        <v>22</v>
      </c>
      <c r="I38" s="1850" t="s">
        <v>810</v>
      </c>
    </row>
    <row customHeight="1" ht="11.25">
      <c r="A39" s="1850" t="s">
        <v>2246</v>
      </c>
      <c r="B39" s="1850" t="s">
        <v>16</v>
      </c>
      <c r="C39" s="1850" t="s">
        <v>2384</v>
      </c>
      <c r="D39" s="1850" t="s">
        <v>2385</v>
      </c>
      <c r="E39" s="1850" t="s">
        <v>2386</v>
      </c>
      <c r="F39" s="1850" t="s">
        <v>2387</v>
      </c>
      <c r="G39" s="1850" t="s">
        <v>22</v>
      </c>
      <c r="H39" s="1850" t="s">
        <v>22</v>
      </c>
      <c r="I39" s="1850" t="s">
        <v>810</v>
      </c>
    </row>
    <row customHeight="1" ht="11.25">
      <c r="A40" s="1850" t="s">
        <v>2246</v>
      </c>
      <c r="B40" s="1850" t="s">
        <v>16</v>
      </c>
      <c r="C40" s="1850" t="s">
        <v>2388</v>
      </c>
      <c r="D40" s="1850" t="s">
        <v>2389</v>
      </c>
      <c r="E40" s="1850" t="s">
        <v>2390</v>
      </c>
      <c r="F40" s="1850" t="s">
        <v>2391</v>
      </c>
      <c r="G40" s="1850" t="s">
        <v>22</v>
      </c>
      <c r="H40" s="1850" t="s">
        <v>22</v>
      </c>
      <c r="I40" s="1850" t="s">
        <v>810</v>
      </c>
    </row>
    <row customHeight="1" ht="11.25">
      <c r="A41" s="1850" t="s">
        <v>2246</v>
      </c>
      <c r="B41" s="1850" t="s">
        <v>16</v>
      </c>
      <c r="C41" s="1850" t="s">
        <v>2392</v>
      </c>
      <c r="D41" s="1850" t="s">
        <v>2393</v>
      </c>
      <c r="E41" s="1850" t="s">
        <v>2394</v>
      </c>
      <c r="F41" s="1850" t="s">
        <v>2395</v>
      </c>
      <c r="G41" s="1850" t="s">
        <v>22</v>
      </c>
      <c r="H41" s="1850" t="s">
        <v>22</v>
      </c>
      <c r="I41" s="1850" t="s">
        <v>810</v>
      </c>
    </row>
    <row customHeight="1" ht="11.25">
      <c r="A42" s="1850" t="s">
        <v>2246</v>
      </c>
      <c r="B42" s="1850" t="s">
        <v>16</v>
      </c>
      <c r="C42" s="1850" t="s">
        <v>2396</v>
      </c>
      <c r="D42" s="1850" t="s">
        <v>2397</v>
      </c>
      <c r="E42" s="1850" t="s">
        <v>2386</v>
      </c>
      <c r="F42" s="1850" t="s">
        <v>2398</v>
      </c>
      <c r="G42" s="1850" t="s">
        <v>22</v>
      </c>
      <c r="H42" s="1850" t="s">
        <v>22</v>
      </c>
      <c r="I42" s="1850" t="s">
        <v>810</v>
      </c>
    </row>
    <row customHeight="1" ht="11.25">
      <c r="A43" s="1850" t="s">
        <v>2246</v>
      </c>
      <c r="B43" s="1850" t="s">
        <v>16</v>
      </c>
      <c r="C43" s="1850" t="s">
        <v>2399</v>
      </c>
      <c r="D43" s="1850" t="s">
        <v>2400</v>
      </c>
      <c r="E43" s="1850" t="s">
        <v>2401</v>
      </c>
      <c r="F43" s="1850" t="s">
        <v>2402</v>
      </c>
      <c r="G43" s="1850" t="s">
        <v>2403</v>
      </c>
      <c r="H43" s="1850" t="s">
        <v>22</v>
      </c>
      <c r="I43" s="1850" t="s">
        <v>810</v>
      </c>
    </row>
    <row customHeight="1" ht="11.25">
      <c r="A44" s="1850" t="s">
        <v>2246</v>
      </c>
      <c r="B44" s="1850" t="s">
        <v>16</v>
      </c>
      <c r="C44" s="1850" t="s">
        <v>2404</v>
      </c>
      <c r="D44" s="1850" t="s">
        <v>2405</v>
      </c>
      <c r="E44" s="1850" t="s">
        <v>2406</v>
      </c>
      <c r="F44" s="1850" t="s">
        <v>2407</v>
      </c>
      <c r="G44" s="1850" t="s">
        <v>22</v>
      </c>
      <c r="H44" s="1850" t="s">
        <v>22</v>
      </c>
      <c r="I44" s="1850" t="s">
        <v>810</v>
      </c>
    </row>
    <row customHeight="1" ht="11.25">
      <c r="A45" s="1850" t="s">
        <v>2246</v>
      </c>
      <c r="B45" s="1850" t="s">
        <v>16</v>
      </c>
      <c r="C45" s="1850" t="s">
        <v>2408</v>
      </c>
      <c r="D45" s="1850" t="s">
        <v>2409</v>
      </c>
      <c r="E45" s="1850" t="s">
        <v>2406</v>
      </c>
      <c r="F45" s="1850" t="s">
        <v>2254</v>
      </c>
      <c r="G45" s="1850" t="s">
        <v>22</v>
      </c>
      <c r="H45" s="1850" t="s">
        <v>22</v>
      </c>
      <c r="I45" s="1850" t="s">
        <v>810</v>
      </c>
    </row>
    <row customHeight="1" ht="11.25">
      <c r="A46" s="1850" t="s">
        <v>2246</v>
      </c>
      <c r="B46" s="1850" t="s">
        <v>16</v>
      </c>
      <c r="C46" s="1850" t="s">
        <v>2410</v>
      </c>
      <c r="D46" s="1850" t="s">
        <v>2411</v>
      </c>
      <c r="E46" s="1850" t="s">
        <v>2386</v>
      </c>
      <c r="F46" s="1850" t="s">
        <v>2321</v>
      </c>
      <c r="G46" s="1850" t="s">
        <v>22</v>
      </c>
      <c r="H46" s="1850" t="s">
        <v>22</v>
      </c>
      <c r="I46" s="1850" t="s">
        <v>810</v>
      </c>
    </row>
    <row customHeight="1" ht="11.25">
      <c r="A47" s="1850" t="s">
        <v>2246</v>
      </c>
      <c r="B47" s="1850" t="s">
        <v>16</v>
      </c>
      <c r="C47" s="1850" t="s">
        <v>2412</v>
      </c>
      <c r="D47" s="1850" t="s">
        <v>2413</v>
      </c>
      <c r="E47" s="1850" t="s">
        <v>2414</v>
      </c>
      <c r="F47" s="1850" t="s">
        <v>577</v>
      </c>
      <c r="G47" s="1850" t="s">
        <v>2415</v>
      </c>
      <c r="H47" s="1850" t="s">
        <v>22</v>
      </c>
      <c r="I47" s="1850" t="s">
        <v>810</v>
      </c>
    </row>
    <row customHeight="1" ht="11.25">
      <c r="A48" s="1850" t="s">
        <v>2246</v>
      </c>
      <c r="B48" s="1850" t="s">
        <v>16</v>
      </c>
      <c r="C48" s="1850" t="s">
        <v>2416</v>
      </c>
      <c r="D48" s="1850" t="s">
        <v>2417</v>
      </c>
      <c r="E48" s="1850" t="s">
        <v>2418</v>
      </c>
      <c r="F48" s="1850" t="s">
        <v>577</v>
      </c>
      <c r="G48" s="1850" t="s">
        <v>2419</v>
      </c>
      <c r="H48" s="1850" t="s">
        <v>22</v>
      </c>
      <c r="I48" s="1850" t="s">
        <v>810</v>
      </c>
    </row>
    <row customHeight="1" ht="11.25">
      <c r="A49" s="1850" t="s">
        <v>2246</v>
      </c>
      <c r="B49" s="1850" t="s">
        <v>16</v>
      </c>
      <c r="C49" s="1850" t="s">
        <v>2420</v>
      </c>
      <c r="D49" s="1850" t="s">
        <v>2421</v>
      </c>
      <c r="E49" s="1850" t="s">
        <v>2422</v>
      </c>
      <c r="F49" s="1850" t="s">
        <v>577</v>
      </c>
      <c r="G49" s="1850" t="s">
        <v>22</v>
      </c>
      <c r="H49" s="1850" t="s">
        <v>22</v>
      </c>
      <c r="I49" s="1850" t="s">
        <v>810</v>
      </c>
    </row>
    <row customHeight="1" ht="11.25">
      <c r="A50" s="1850" t="s">
        <v>2246</v>
      </c>
      <c r="B50" s="1850" t="s">
        <v>16</v>
      </c>
      <c r="C50" s="1850" t="s">
        <v>2423</v>
      </c>
      <c r="D50" s="1850" t="s">
        <v>2424</v>
      </c>
      <c r="E50" s="1850" t="s">
        <v>2425</v>
      </c>
      <c r="F50" s="1850" t="s">
        <v>577</v>
      </c>
      <c r="G50" s="1850" t="s">
        <v>2426</v>
      </c>
      <c r="H50" s="1850" t="s">
        <v>22</v>
      </c>
      <c r="I50" s="1850" t="s">
        <v>810</v>
      </c>
    </row>
    <row customHeight="1" ht="11.25">
      <c r="A51" s="1850" t="s">
        <v>2246</v>
      </c>
      <c r="B51" s="1850" t="s">
        <v>16</v>
      </c>
      <c r="C51" s="1850" t="s">
        <v>2427</v>
      </c>
      <c r="D51" s="1850" t="s">
        <v>2428</v>
      </c>
      <c r="E51" s="1850" t="s">
        <v>2429</v>
      </c>
      <c r="F51" s="1850" t="s">
        <v>577</v>
      </c>
      <c r="G51" s="1850" t="s">
        <v>2430</v>
      </c>
      <c r="H51" s="1850" t="s">
        <v>22</v>
      </c>
      <c r="I51" s="1850" t="s">
        <v>810</v>
      </c>
    </row>
    <row customHeight="1" ht="11.25">
      <c r="A52" s="1850" t="s">
        <v>2246</v>
      </c>
      <c r="B52" s="1850" t="s">
        <v>16</v>
      </c>
      <c r="C52" s="1850" t="s">
        <v>2431</v>
      </c>
      <c r="D52" s="1850" t="s">
        <v>2432</v>
      </c>
      <c r="E52" s="1850" t="s">
        <v>2433</v>
      </c>
      <c r="F52" s="1850" t="s">
        <v>577</v>
      </c>
      <c r="G52" s="1850" t="s">
        <v>22</v>
      </c>
      <c r="H52" s="1850" t="s">
        <v>22</v>
      </c>
      <c r="I52" s="1850" t="s">
        <v>810</v>
      </c>
    </row>
    <row customHeight="1" ht="11.25">
      <c r="A53" s="1850" t="s">
        <v>2246</v>
      </c>
      <c r="B53" s="1850" t="s">
        <v>16</v>
      </c>
      <c r="C53" s="1850" t="s">
        <v>2434</v>
      </c>
      <c r="D53" s="1850" t="s">
        <v>2435</v>
      </c>
      <c r="E53" s="1850" t="s">
        <v>2382</v>
      </c>
      <c r="F53" s="1850" t="s">
        <v>2365</v>
      </c>
      <c r="G53" s="1850" t="s">
        <v>22</v>
      </c>
      <c r="H53" s="1850" t="s">
        <v>22</v>
      </c>
      <c r="I53" s="1850" t="s">
        <v>810</v>
      </c>
    </row>
    <row customHeight="1" ht="11.25">
      <c r="A54" s="1850" t="s">
        <v>2246</v>
      </c>
      <c r="B54" s="1850" t="s">
        <v>16</v>
      </c>
      <c r="C54" s="1850" t="s">
        <v>2436</v>
      </c>
      <c r="D54" s="1850" t="s">
        <v>2437</v>
      </c>
      <c r="E54" s="1850" t="s">
        <v>2438</v>
      </c>
      <c r="F54" s="1850" t="s">
        <v>2250</v>
      </c>
      <c r="G54" s="1850" t="s">
        <v>22</v>
      </c>
      <c r="H54" s="1850" t="s">
        <v>22</v>
      </c>
      <c r="I54" s="1850" t="s">
        <v>810</v>
      </c>
    </row>
    <row customHeight="1" ht="11.25">
      <c r="A55" s="1850" t="s">
        <v>2246</v>
      </c>
      <c r="B55" s="1850" t="s">
        <v>16</v>
      </c>
      <c r="C55" s="1850" t="s">
        <v>2439</v>
      </c>
      <c r="D55" s="1850" t="s">
        <v>2440</v>
      </c>
      <c r="E55" s="1850" t="s">
        <v>2441</v>
      </c>
      <c r="F55" s="1850" t="s">
        <v>2250</v>
      </c>
      <c r="G55" s="1850" t="s">
        <v>22</v>
      </c>
      <c r="H55" s="1850" t="s">
        <v>22</v>
      </c>
      <c r="I55" s="1850" t="s">
        <v>810</v>
      </c>
    </row>
    <row customHeight="1" ht="11.25">
      <c r="A56" s="1850" t="s">
        <v>2246</v>
      </c>
      <c r="B56" s="1850" t="s">
        <v>16</v>
      </c>
      <c r="C56" s="1850" t="s">
        <v>2442</v>
      </c>
      <c r="D56" s="1850" t="s">
        <v>2443</v>
      </c>
      <c r="E56" s="1850" t="s">
        <v>2444</v>
      </c>
      <c r="F56" s="1850" t="s">
        <v>2445</v>
      </c>
      <c r="G56" s="1850" t="s">
        <v>2446</v>
      </c>
      <c r="H56" s="1850" t="s">
        <v>22</v>
      </c>
      <c r="I56" s="1850" t="s">
        <v>810</v>
      </c>
    </row>
    <row customHeight="1" ht="11.25">
      <c r="A57" s="1850" t="s">
        <v>2246</v>
      </c>
      <c r="B57" s="1850" t="s">
        <v>16</v>
      </c>
      <c r="C57" s="1850" t="s">
        <v>22</v>
      </c>
      <c r="D57" s="1850" t="s">
        <v>2447</v>
      </c>
      <c r="E57" s="1850" t="s">
        <v>2448</v>
      </c>
      <c r="F57" s="1850" t="s">
        <v>2254</v>
      </c>
      <c r="G57" s="1850" t="s">
        <v>22</v>
      </c>
      <c r="H57" s="1850" t="s">
        <v>22</v>
      </c>
      <c r="I57" s="1850" t="s">
        <v>810</v>
      </c>
    </row>
    <row customHeight="1" ht="11.25">
      <c r="A58" s="1850" t="s">
        <v>2246</v>
      </c>
      <c r="B58" s="1850" t="s">
        <v>16</v>
      </c>
      <c r="C58" s="1850" t="s">
        <v>2449</v>
      </c>
      <c r="D58" s="1850" t="s">
        <v>2450</v>
      </c>
      <c r="E58" s="1850" t="s">
        <v>2451</v>
      </c>
      <c r="F58" s="1850" t="s">
        <v>2452</v>
      </c>
      <c r="G58" s="1850" t="s">
        <v>22</v>
      </c>
      <c r="H58" s="1850" t="s">
        <v>22</v>
      </c>
      <c r="I58" s="1850" t="s">
        <v>810</v>
      </c>
    </row>
    <row customHeight="1" ht="11.25">
      <c r="A59" s="1850" t="s">
        <v>2246</v>
      </c>
      <c r="B59" s="1850" t="s">
        <v>16</v>
      </c>
      <c r="C59" s="1850" t="s">
        <v>2453</v>
      </c>
      <c r="D59" s="1850" t="s">
        <v>2454</v>
      </c>
      <c r="E59" s="1850" t="s">
        <v>2455</v>
      </c>
      <c r="F59" s="1850" t="s">
        <v>2349</v>
      </c>
      <c r="G59" s="1850" t="s">
        <v>2456</v>
      </c>
      <c r="H59" s="1850" t="s">
        <v>22</v>
      </c>
      <c r="I59" s="1850" t="s">
        <v>810</v>
      </c>
    </row>
    <row customHeight="1" ht="11.25">
      <c r="A60" s="1850" t="s">
        <v>2246</v>
      </c>
      <c r="B60" s="1850" t="s">
        <v>16</v>
      </c>
      <c r="C60" s="1850" t="s">
        <v>2457</v>
      </c>
      <c r="D60" s="1850" t="s">
        <v>2458</v>
      </c>
      <c r="E60" s="1850" t="s">
        <v>2459</v>
      </c>
      <c r="F60" s="1850" t="s">
        <v>2306</v>
      </c>
      <c r="G60" s="1850" t="s">
        <v>2446</v>
      </c>
      <c r="H60" s="1850" t="s">
        <v>22</v>
      </c>
      <c r="I60" s="1850" t="s">
        <v>810</v>
      </c>
    </row>
    <row customHeight="1" ht="11.25">
      <c r="A61" s="1850" t="s">
        <v>2246</v>
      </c>
      <c r="B61" s="1850" t="s">
        <v>16</v>
      </c>
      <c r="C61" s="1850" t="s">
        <v>2460</v>
      </c>
      <c r="D61" s="1850" t="s">
        <v>2461</v>
      </c>
      <c r="E61" s="1850" t="s">
        <v>2462</v>
      </c>
      <c r="F61" s="1850" t="s">
        <v>2361</v>
      </c>
      <c r="G61" s="1850" t="s">
        <v>22</v>
      </c>
      <c r="H61" s="1850" t="s">
        <v>22</v>
      </c>
      <c r="I61" s="1850" t="s">
        <v>810</v>
      </c>
    </row>
    <row customHeight="1" ht="11.25">
      <c r="A62" s="1850" t="s">
        <v>2246</v>
      </c>
      <c r="B62" s="1850" t="s">
        <v>16</v>
      </c>
      <c r="C62" s="1850" t="s">
        <v>2463</v>
      </c>
      <c r="D62" s="1850" t="s">
        <v>2464</v>
      </c>
      <c r="E62" s="1850" t="s">
        <v>2465</v>
      </c>
      <c r="F62" s="1850" t="s">
        <v>2321</v>
      </c>
      <c r="G62" s="1850" t="s">
        <v>22</v>
      </c>
      <c r="H62" s="1850" t="s">
        <v>22</v>
      </c>
      <c r="I62" s="1850" t="s">
        <v>810</v>
      </c>
    </row>
    <row customHeight="1" ht="11.25">
      <c r="A63" s="1850" t="s">
        <v>2246</v>
      </c>
      <c r="B63" s="1850" t="s">
        <v>16</v>
      </c>
      <c r="C63" s="1850" t="s">
        <v>2466</v>
      </c>
      <c r="D63" s="1850" t="s">
        <v>2467</v>
      </c>
      <c r="E63" s="1850" t="s">
        <v>2468</v>
      </c>
      <c r="F63" s="1850" t="s">
        <v>2250</v>
      </c>
      <c r="G63" s="1850" t="s">
        <v>2469</v>
      </c>
      <c r="H63" s="1850" t="s">
        <v>22</v>
      </c>
      <c r="I63" s="1850" t="s">
        <v>810</v>
      </c>
    </row>
    <row customHeight="1" ht="11.25">
      <c r="A64" s="1850" t="s">
        <v>2246</v>
      </c>
      <c r="B64" s="1850" t="s">
        <v>16</v>
      </c>
      <c r="C64" s="1850" t="s">
        <v>2470</v>
      </c>
      <c r="D64" s="1850" t="s">
        <v>2471</v>
      </c>
      <c r="E64" s="1850" t="s">
        <v>2472</v>
      </c>
      <c r="F64" s="1850" t="s">
        <v>2473</v>
      </c>
      <c r="G64" s="1850" t="s">
        <v>2474</v>
      </c>
      <c r="H64" s="1850" t="s">
        <v>22</v>
      </c>
      <c r="I64" s="1850" t="s">
        <v>810</v>
      </c>
    </row>
    <row customHeight="1" ht="11.25">
      <c r="A65" s="1850" t="s">
        <v>2246</v>
      </c>
      <c r="B65" s="1850" t="s">
        <v>16</v>
      </c>
      <c r="C65" s="1850" t="s">
        <v>2475</v>
      </c>
      <c r="D65" s="1850" t="s">
        <v>2476</v>
      </c>
      <c r="E65" s="1850" t="s">
        <v>2477</v>
      </c>
      <c r="F65" s="1850" t="s">
        <v>2321</v>
      </c>
      <c r="G65" s="1850" t="s">
        <v>2478</v>
      </c>
      <c r="H65" s="1850" t="s">
        <v>22</v>
      </c>
      <c r="I65" s="1850" t="s">
        <v>810</v>
      </c>
    </row>
    <row customHeight="1" ht="11.25">
      <c r="A66" s="1850" t="s">
        <v>2246</v>
      </c>
      <c r="B66" s="1850" t="s">
        <v>16</v>
      </c>
      <c r="C66" s="1850" t="s">
        <v>2479</v>
      </c>
      <c r="D66" s="1850" t="s">
        <v>2480</v>
      </c>
      <c r="E66" s="1850" t="s">
        <v>2481</v>
      </c>
      <c r="F66" s="1850" t="s">
        <v>2482</v>
      </c>
      <c r="G66" s="1850" t="s">
        <v>22</v>
      </c>
      <c r="H66" s="1850" t="s">
        <v>22</v>
      </c>
      <c r="I66" s="1850" t="s">
        <v>810</v>
      </c>
    </row>
    <row customHeight="1" ht="11.25">
      <c r="A67" s="1850" t="s">
        <v>2246</v>
      </c>
      <c r="B67" s="1850" t="s">
        <v>16</v>
      </c>
      <c r="C67" s="1850" t="s">
        <v>2483</v>
      </c>
      <c r="D67" s="1850" t="s">
        <v>2484</v>
      </c>
      <c r="E67" s="1850" t="s">
        <v>2485</v>
      </c>
      <c r="F67" s="1850" t="s">
        <v>2250</v>
      </c>
      <c r="G67" s="1850" t="s">
        <v>22</v>
      </c>
      <c r="H67" s="1850" t="s">
        <v>22</v>
      </c>
      <c r="I67" s="1850" t="s">
        <v>810</v>
      </c>
    </row>
    <row customHeight="1" ht="11.25">
      <c r="A68" s="1850" t="s">
        <v>2246</v>
      </c>
      <c r="B68" s="1850" t="s">
        <v>16</v>
      </c>
      <c r="C68" s="1850" t="s">
        <v>2486</v>
      </c>
      <c r="D68" s="1850" t="s">
        <v>2487</v>
      </c>
      <c r="E68" s="1850" t="s">
        <v>2488</v>
      </c>
      <c r="F68" s="1850" t="s">
        <v>2445</v>
      </c>
      <c r="G68" s="1850" t="s">
        <v>22</v>
      </c>
      <c r="H68" s="1850" t="s">
        <v>22</v>
      </c>
      <c r="I68" s="1850" t="s">
        <v>810</v>
      </c>
    </row>
    <row customHeight="1" ht="11.25">
      <c r="A69" s="1850" t="s">
        <v>2246</v>
      </c>
      <c r="B69" s="1850" t="s">
        <v>16</v>
      </c>
      <c r="C69" s="1850" t="s">
        <v>2489</v>
      </c>
      <c r="D69" s="1850" t="s">
        <v>2490</v>
      </c>
      <c r="E69" s="1850" t="s">
        <v>2491</v>
      </c>
      <c r="F69" s="1850" t="s">
        <v>2492</v>
      </c>
      <c r="G69" s="1850" t="s">
        <v>22</v>
      </c>
      <c r="H69" s="1850" t="s">
        <v>22</v>
      </c>
      <c r="I69" s="1850" t="s">
        <v>810</v>
      </c>
    </row>
    <row customHeight="1" ht="11.25">
      <c r="A70" s="1850" t="s">
        <v>2246</v>
      </c>
      <c r="B70" s="1850" t="s">
        <v>16</v>
      </c>
      <c r="C70" s="1850" t="s">
        <v>2493</v>
      </c>
      <c r="D70" s="1850" t="s">
        <v>2494</v>
      </c>
      <c r="E70" s="1850" t="s">
        <v>2495</v>
      </c>
      <c r="F70" s="1850" t="s">
        <v>2250</v>
      </c>
      <c r="G70" s="1850" t="s">
        <v>22</v>
      </c>
      <c r="H70" s="1850" t="s">
        <v>22</v>
      </c>
      <c r="I70" s="1850" t="s">
        <v>810</v>
      </c>
    </row>
    <row customHeight="1" ht="11.25">
      <c r="A71" s="1850" t="s">
        <v>2246</v>
      </c>
      <c r="B71" s="1850" t="s">
        <v>16</v>
      </c>
      <c r="C71" s="1850" t="s">
        <v>2496</v>
      </c>
      <c r="D71" s="1850" t="s">
        <v>2497</v>
      </c>
      <c r="E71" s="1850" t="s">
        <v>2498</v>
      </c>
      <c r="F71" s="1850" t="s">
        <v>2499</v>
      </c>
      <c r="G71" s="1850" t="s">
        <v>22</v>
      </c>
      <c r="H71" s="1850" t="s">
        <v>22</v>
      </c>
      <c r="I71" s="1850" t="s">
        <v>810</v>
      </c>
    </row>
    <row customHeight="1" ht="11.25">
      <c r="A72" s="1850" t="s">
        <v>2246</v>
      </c>
      <c r="B72" s="1850" t="s">
        <v>16</v>
      </c>
      <c r="C72" s="1850" t="s">
        <v>2500</v>
      </c>
      <c r="D72" s="1850" t="s">
        <v>2501</v>
      </c>
      <c r="E72" s="1850" t="s">
        <v>2502</v>
      </c>
      <c r="F72" s="1850" t="s">
        <v>2503</v>
      </c>
      <c r="G72" s="1850" t="s">
        <v>22</v>
      </c>
      <c r="H72" s="1850" t="s">
        <v>22</v>
      </c>
      <c r="I72" s="1850" t="s">
        <v>810</v>
      </c>
    </row>
    <row customHeight="1" ht="11.25">
      <c r="A73" s="1850" t="s">
        <v>2246</v>
      </c>
      <c r="B73" s="1850" t="s">
        <v>16</v>
      </c>
      <c r="C73" s="1850" t="s">
        <v>2504</v>
      </c>
      <c r="D73" s="1850" t="s">
        <v>2505</v>
      </c>
      <c r="E73" s="1850" t="s">
        <v>2506</v>
      </c>
      <c r="F73" s="1850" t="s">
        <v>2503</v>
      </c>
      <c r="G73" s="1850" t="s">
        <v>22</v>
      </c>
      <c r="H73" s="1850" t="s">
        <v>22</v>
      </c>
      <c r="I73" s="1850" t="s">
        <v>810</v>
      </c>
    </row>
    <row customHeight="1" ht="11.25">
      <c r="A74" s="1850" t="s">
        <v>2246</v>
      </c>
      <c r="B74" s="1850" t="s">
        <v>16</v>
      </c>
      <c r="C74" s="1850" t="s">
        <v>2507</v>
      </c>
      <c r="D74" s="1850" t="s">
        <v>2508</v>
      </c>
      <c r="E74" s="1850" t="s">
        <v>2509</v>
      </c>
      <c r="F74" s="1850" t="s">
        <v>2503</v>
      </c>
      <c r="G74" s="1850" t="s">
        <v>22</v>
      </c>
      <c r="H74" s="1850" t="s">
        <v>22</v>
      </c>
      <c r="I74" s="1850" t="s">
        <v>810</v>
      </c>
    </row>
    <row customHeight="1" ht="11.25">
      <c r="A75" s="1850" t="s">
        <v>2246</v>
      </c>
      <c r="B75" s="1850" t="s">
        <v>16</v>
      </c>
      <c r="C75" s="1850" t="s">
        <v>2510</v>
      </c>
      <c r="D75" s="1850" t="s">
        <v>2511</v>
      </c>
      <c r="E75" s="1850" t="s">
        <v>2512</v>
      </c>
      <c r="F75" s="1850" t="s">
        <v>2345</v>
      </c>
      <c r="G75" s="1850" t="s">
        <v>2513</v>
      </c>
      <c r="H75" s="1850" t="s">
        <v>22</v>
      </c>
      <c r="I75" s="1850" t="s">
        <v>810</v>
      </c>
    </row>
    <row customHeight="1" ht="11.25">
      <c r="A76" s="1850" t="s">
        <v>2246</v>
      </c>
      <c r="B76" s="1850" t="s">
        <v>16</v>
      </c>
      <c r="C76" s="1850" t="s">
        <v>2514</v>
      </c>
      <c r="D76" s="1850" t="s">
        <v>2515</v>
      </c>
      <c r="E76" s="1850" t="s">
        <v>2516</v>
      </c>
      <c r="F76" s="1850" t="s">
        <v>2313</v>
      </c>
      <c r="G76" s="1850" t="s">
        <v>2517</v>
      </c>
      <c r="H76" s="1850" t="s">
        <v>22</v>
      </c>
      <c r="I76" s="1850" t="s">
        <v>810</v>
      </c>
    </row>
    <row customHeight="1" ht="11.25">
      <c r="A77" s="1850" t="s">
        <v>2246</v>
      </c>
      <c r="B77" s="1850" t="s">
        <v>16</v>
      </c>
      <c r="C77" s="1850" t="s">
        <v>2518</v>
      </c>
      <c r="D77" s="1850" t="s">
        <v>2519</v>
      </c>
      <c r="E77" s="1850" t="s">
        <v>2520</v>
      </c>
      <c r="F77" s="1850" t="s">
        <v>2345</v>
      </c>
      <c r="G77" s="1850" t="s">
        <v>2521</v>
      </c>
      <c r="H77" s="1850" t="s">
        <v>22</v>
      </c>
      <c r="I77" s="1850" t="s">
        <v>810</v>
      </c>
    </row>
    <row customHeight="1" ht="11.25">
      <c r="A78" s="1850" t="s">
        <v>2246</v>
      </c>
      <c r="B78" s="1850" t="s">
        <v>16</v>
      </c>
      <c r="C78" s="1850" t="s">
        <v>2522</v>
      </c>
      <c r="D78" s="1850" t="s">
        <v>2523</v>
      </c>
      <c r="E78" s="1850" t="s">
        <v>2524</v>
      </c>
      <c r="F78" s="1850" t="s">
        <v>2525</v>
      </c>
      <c r="G78" s="1850" t="s">
        <v>22</v>
      </c>
      <c r="H78" s="1850" t="s">
        <v>22</v>
      </c>
      <c r="I78" s="1850" t="s">
        <v>810</v>
      </c>
    </row>
    <row customHeight="1" ht="11.25">
      <c r="A79" s="1850" t="s">
        <v>2246</v>
      </c>
      <c r="B79" s="1850" t="s">
        <v>16</v>
      </c>
      <c r="C79" s="1850" t="s">
        <v>2526</v>
      </c>
      <c r="D79" s="1850" t="s">
        <v>2527</v>
      </c>
      <c r="E79" s="1850" t="s">
        <v>2528</v>
      </c>
      <c r="F79" s="1850" t="s">
        <v>2529</v>
      </c>
      <c r="G79" s="1850" t="s">
        <v>22</v>
      </c>
      <c r="H79" s="1850" t="s">
        <v>2530</v>
      </c>
      <c r="I79" s="1850" t="s">
        <v>810</v>
      </c>
    </row>
    <row customHeight="1" ht="11.25">
      <c r="A80" s="1850" t="s">
        <v>2246</v>
      </c>
      <c r="B80" s="1850" t="s">
        <v>16</v>
      </c>
      <c r="C80" s="1850" t="s">
        <v>2531</v>
      </c>
      <c r="D80" s="1850" t="s">
        <v>2532</v>
      </c>
      <c r="E80" s="1850" t="s">
        <v>2533</v>
      </c>
      <c r="F80" s="1850" t="s">
        <v>2345</v>
      </c>
      <c r="G80" s="1850" t="s">
        <v>2534</v>
      </c>
      <c r="H80" s="1850" t="s">
        <v>22</v>
      </c>
      <c r="I80" s="1850" t="s">
        <v>810</v>
      </c>
    </row>
    <row customHeight="1" ht="11.25">
      <c r="A81" s="1850" t="s">
        <v>2246</v>
      </c>
      <c r="B81" s="1850" t="s">
        <v>16</v>
      </c>
      <c r="C81" s="1850" t="s">
        <v>2535</v>
      </c>
      <c r="D81" s="1850" t="s">
        <v>2536</v>
      </c>
      <c r="E81" s="1850" t="s">
        <v>2537</v>
      </c>
      <c r="F81" s="1850" t="s">
        <v>2492</v>
      </c>
      <c r="G81" s="1850" t="s">
        <v>2538</v>
      </c>
      <c r="H81" s="1850" t="s">
        <v>22</v>
      </c>
      <c r="I81" s="1850" t="s">
        <v>810</v>
      </c>
    </row>
    <row customHeight="1" ht="11.25">
      <c r="A82" s="1850" t="s">
        <v>2246</v>
      </c>
      <c r="B82" s="1850" t="s">
        <v>16</v>
      </c>
      <c r="C82" s="1850" t="s">
        <v>2539</v>
      </c>
      <c r="D82" s="1850" t="s">
        <v>2540</v>
      </c>
      <c r="E82" s="1850" t="s">
        <v>2541</v>
      </c>
      <c r="F82" s="1850" t="s">
        <v>2542</v>
      </c>
      <c r="G82" s="1850" t="s">
        <v>22</v>
      </c>
      <c r="H82" s="1850" t="s">
        <v>22</v>
      </c>
      <c r="I82" s="1850" t="s">
        <v>810</v>
      </c>
    </row>
    <row customHeight="1" ht="11.25">
      <c r="A83" s="1850" t="s">
        <v>2246</v>
      </c>
      <c r="B83" s="1850" t="s">
        <v>16</v>
      </c>
      <c r="C83" s="1850" t="s">
        <v>2543</v>
      </c>
      <c r="D83" s="1850" t="s">
        <v>2544</v>
      </c>
      <c r="E83" s="1850" t="s">
        <v>2545</v>
      </c>
      <c r="F83" s="1850" t="s">
        <v>2306</v>
      </c>
      <c r="G83" s="1850" t="s">
        <v>2546</v>
      </c>
      <c r="H83" s="1850" t="s">
        <v>22</v>
      </c>
      <c r="I83" s="1850" t="s">
        <v>810</v>
      </c>
    </row>
    <row customHeight="1" ht="11.25">
      <c r="A84" s="1850" t="s">
        <v>2246</v>
      </c>
      <c r="B84" s="1850" t="s">
        <v>16</v>
      </c>
      <c r="C84" s="1850" t="s">
        <v>2547</v>
      </c>
      <c r="D84" s="1850" t="s">
        <v>2544</v>
      </c>
      <c r="E84" s="1850" t="s">
        <v>2545</v>
      </c>
      <c r="F84" s="1850" t="s">
        <v>2548</v>
      </c>
      <c r="G84" s="1850" t="s">
        <v>22</v>
      </c>
      <c r="H84" s="1850" t="s">
        <v>22</v>
      </c>
      <c r="I84" s="1850" t="s">
        <v>810</v>
      </c>
    </row>
    <row customHeight="1" ht="11.25">
      <c r="A85" s="1850" t="s">
        <v>2246</v>
      </c>
      <c r="B85" s="1850" t="s">
        <v>16</v>
      </c>
      <c r="C85" s="1850" t="s">
        <v>2549</v>
      </c>
      <c r="D85" s="1850" t="s">
        <v>2550</v>
      </c>
      <c r="E85" s="1850" t="s">
        <v>2551</v>
      </c>
      <c r="F85" s="1850" t="s">
        <v>2552</v>
      </c>
      <c r="G85" s="1850" t="s">
        <v>2553</v>
      </c>
      <c r="H85" s="1850" t="s">
        <v>22</v>
      </c>
      <c r="I85" s="1850" t="s">
        <v>810</v>
      </c>
    </row>
    <row customHeight="1" ht="11.25">
      <c r="A86" s="1850" t="s">
        <v>2246</v>
      </c>
      <c r="B86" s="1850" t="s">
        <v>16</v>
      </c>
      <c r="C86" s="1850" t="s">
        <v>2554</v>
      </c>
      <c r="D86" s="1850" t="s">
        <v>2555</v>
      </c>
      <c r="E86" s="1850" t="s">
        <v>2556</v>
      </c>
      <c r="F86" s="1850" t="s">
        <v>2557</v>
      </c>
      <c r="G86" s="1850" t="s">
        <v>2558</v>
      </c>
      <c r="H86" s="1850" t="s">
        <v>22</v>
      </c>
      <c r="I86" s="1850" t="s">
        <v>810</v>
      </c>
    </row>
    <row customHeight="1" ht="11.25">
      <c r="A87" s="1850" t="s">
        <v>2246</v>
      </c>
      <c r="B87" s="1850" t="s">
        <v>16</v>
      </c>
      <c r="C87" s="1850" t="s">
        <v>2559</v>
      </c>
      <c r="D87" s="1850" t="s">
        <v>2560</v>
      </c>
      <c r="E87" s="1850" t="s">
        <v>2561</v>
      </c>
      <c r="F87" s="1850" t="s">
        <v>2562</v>
      </c>
      <c r="G87" s="1850" t="s">
        <v>22</v>
      </c>
      <c r="H87" s="1850" t="s">
        <v>22</v>
      </c>
      <c r="I87" s="1850" t="s">
        <v>810</v>
      </c>
    </row>
    <row customHeight="1" ht="11.25">
      <c r="A88" s="1850" t="s">
        <v>2246</v>
      </c>
      <c r="B88" s="1850" t="s">
        <v>16</v>
      </c>
      <c r="C88" s="1850" t="s">
        <v>2563</v>
      </c>
      <c r="D88" s="1850" t="s">
        <v>2564</v>
      </c>
      <c r="E88" s="1850" t="s">
        <v>2565</v>
      </c>
      <c r="F88" s="1850" t="s">
        <v>2562</v>
      </c>
      <c r="G88" s="1850" t="s">
        <v>2566</v>
      </c>
      <c r="H88" s="1850" t="s">
        <v>22</v>
      </c>
      <c r="I88" s="1850" t="s">
        <v>810</v>
      </c>
    </row>
    <row customHeight="1" ht="11.25">
      <c r="A89" s="1850" t="s">
        <v>2246</v>
      </c>
      <c r="B89" s="1850" t="s">
        <v>16</v>
      </c>
      <c r="C89" s="1850" t="s">
        <v>2567</v>
      </c>
      <c r="D89" s="1850" t="s">
        <v>2568</v>
      </c>
      <c r="E89" s="1850" t="s">
        <v>2569</v>
      </c>
      <c r="F89" s="1850" t="s">
        <v>2353</v>
      </c>
      <c r="G89" s="1850" t="s">
        <v>22</v>
      </c>
      <c r="H89" s="1850" t="s">
        <v>22</v>
      </c>
      <c r="I89" s="1850" t="s">
        <v>810</v>
      </c>
    </row>
    <row customHeight="1" ht="11.25">
      <c r="A90" s="1850" t="s">
        <v>2246</v>
      </c>
      <c r="B90" s="1850" t="s">
        <v>16</v>
      </c>
      <c r="C90" s="1850" t="s">
        <v>2570</v>
      </c>
      <c r="D90" s="1850" t="s">
        <v>2571</v>
      </c>
      <c r="E90" s="1850" t="s">
        <v>2572</v>
      </c>
      <c r="F90" s="1850" t="s">
        <v>2503</v>
      </c>
      <c r="G90" s="1850" t="s">
        <v>2573</v>
      </c>
      <c r="H90" s="1850" t="s">
        <v>2574</v>
      </c>
      <c r="I90" s="1850" t="s">
        <v>810</v>
      </c>
    </row>
    <row customHeight="1" ht="11.25">
      <c r="A91" s="1850" t="s">
        <v>2246</v>
      </c>
      <c r="B91" s="1850" t="s">
        <v>16</v>
      </c>
      <c r="C91" s="1850" t="s">
        <v>2575</v>
      </c>
      <c r="D91" s="1850" t="s">
        <v>2576</v>
      </c>
      <c r="E91" s="1850" t="s">
        <v>2577</v>
      </c>
      <c r="F91" s="1850" t="s">
        <v>2557</v>
      </c>
      <c r="G91" s="1850" t="s">
        <v>2578</v>
      </c>
      <c r="H91" s="1850" t="s">
        <v>22</v>
      </c>
      <c r="I91" s="1850" t="s">
        <v>810</v>
      </c>
    </row>
    <row customHeight="1" ht="11.25">
      <c r="A92" s="1850" t="s">
        <v>2246</v>
      </c>
      <c r="B92" s="1850" t="s">
        <v>16</v>
      </c>
      <c r="C92" s="1850" t="s">
        <v>2579</v>
      </c>
      <c r="D92" s="1850" t="s">
        <v>2580</v>
      </c>
      <c r="E92" s="1850" t="s">
        <v>2581</v>
      </c>
      <c r="F92" s="1850" t="s">
        <v>2361</v>
      </c>
      <c r="G92" s="1850" t="s">
        <v>2582</v>
      </c>
      <c r="H92" s="1850" t="s">
        <v>22</v>
      </c>
      <c r="I92" s="1850" t="s">
        <v>810</v>
      </c>
    </row>
    <row customHeight="1" ht="11.25">
      <c r="A93" s="1850" t="s">
        <v>2246</v>
      </c>
      <c r="B93" s="1850" t="s">
        <v>16</v>
      </c>
      <c r="C93" s="1850" t="s">
        <v>2583</v>
      </c>
      <c r="D93" s="1850" t="s">
        <v>2584</v>
      </c>
      <c r="E93" s="1850" t="s">
        <v>2585</v>
      </c>
      <c r="F93" s="1850" t="s">
        <v>2298</v>
      </c>
      <c r="G93" s="1850" t="s">
        <v>22</v>
      </c>
      <c r="H93" s="1850" t="s">
        <v>22</v>
      </c>
      <c r="I93" s="1850" t="s">
        <v>810</v>
      </c>
    </row>
    <row customHeight="1" ht="11.25">
      <c r="A94" s="1850" t="s">
        <v>2246</v>
      </c>
      <c r="B94" s="1850" t="s">
        <v>16</v>
      </c>
      <c r="C94" s="1850" t="s">
        <v>2586</v>
      </c>
      <c r="D94" s="1850" t="s">
        <v>2587</v>
      </c>
      <c r="E94" s="1850" t="s">
        <v>2588</v>
      </c>
      <c r="F94" s="1850" t="s">
        <v>2298</v>
      </c>
      <c r="G94" s="1850" t="s">
        <v>2589</v>
      </c>
      <c r="H94" s="1850" t="s">
        <v>22</v>
      </c>
      <c r="I94" s="1850" t="s">
        <v>810</v>
      </c>
    </row>
    <row customHeight="1" ht="11.25">
      <c r="A95" s="1850" t="s">
        <v>2246</v>
      </c>
      <c r="B95" s="1850" t="s">
        <v>16</v>
      </c>
      <c r="C95" s="1850" t="s">
        <v>2590</v>
      </c>
      <c r="D95" s="1850" t="s">
        <v>2591</v>
      </c>
      <c r="E95" s="1850" t="s">
        <v>2592</v>
      </c>
      <c r="F95" s="1850" t="s">
        <v>2593</v>
      </c>
      <c r="G95" s="1850" t="s">
        <v>2594</v>
      </c>
      <c r="H95" s="1850" t="s">
        <v>22</v>
      </c>
      <c r="I95" s="1850" t="s">
        <v>810</v>
      </c>
    </row>
    <row customHeight="1" ht="11.25">
      <c r="A96" s="1850" t="s">
        <v>2246</v>
      </c>
      <c r="B96" s="1850" t="s">
        <v>16</v>
      </c>
      <c r="C96" s="1850" t="s">
        <v>2595</v>
      </c>
      <c r="D96" s="1850" t="s">
        <v>2596</v>
      </c>
      <c r="E96" s="1850" t="s">
        <v>2597</v>
      </c>
      <c r="F96" s="1850" t="s">
        <v>2525</v>
      </c>
      <c r="G96" s="1850" t="s">
        <v>22</v>
      </c>
      <c r="H96" s="1850" t="s">
        <v>22</v>
      </c>
      <c r="I96" s="1850" t="s">
        <v>810</v>
      </c>
    </row>
    <row customHeight="1" ht="11.25">
      <c r="A97" s="1850" t="s">
        <v>2246</v>
      </c>
      <c r="B97" s="1850" t="s">
        <v>16</v>
      </c>
      <c r="C97" s="1850" t="s">
        <v>2598</v>
      </c>
      <c r="D97" s="1850" t="s">
        <v>2599</v>
      </c>
      <c r="E97" s="1850" t="s">
        <v>2600</v>
      </c>
      <c r="F97" s="1850" t="s">
        <v>2298</v>
      </c>
      <c r="G97" s="1850" t="s">
        <v>22</v>
      </c>
      <c r="H97" s="1850" t="s">
        <v>22</v>
      </c>
      <c r="I97" s="1850" t="s">
        <v>810</v>
      </c>
    </row>
    <row customHeight="1" ht="11.25">
      <c r="A98" s="1850" t="s">
        <v>2246</v>
      </c>
      <c r="B98" s="1850" t="s">
        <v>16</v>
      </c>
      <c r="C98" s="1850" t="s">
        <v>2601</v>
      </c>
      <c r="D98" s="1850" t="s">
        <v>2602</v>
      </c>
      <c r="E98" s="1850" t="s">
        <v>2603</v>
      </c>
      <c r="F98" s="1850" t="s">
        <v>2492</v>
      </c>
      <c r="G98" s="1850" t="s">
        <v>22</v>
      </c>
      <c r="H98" s="1850" t="s">
        <v>22</v>
      </c>
      <c r="I98" s="1850" t="s">
        <v>810</v>
      </c>
    </row>
    <row customHeight="1" ht="11.25">
      <c r="A99" s="1850" t="s">
        <v>2246</v>
      </c>
      <c r="B99" s="1850" t="s">
        <v>16</v>
      </c>
      <c r="C99" s="1850" t="s">
        <v>2604</v>
      </c>
      <c r="D99" s="1850" t="s">
        <v>2602</v>
      </c>
      <c r="E99" s="1850" t="s">
        <v>2603</v>
      </c>
      <c r="F99" s="1850" t="s">
        <v>2548</v>
      </c>
      <c r="G99" s="1850" t="s">
        <v>22</v>
      </c>
      <c r="H99" s="1850" t="s">
        <v>22</v>
      </c>
      <c r="I99" s="1850" t="s">
        <v>810</v>
      </c>
    </row>
    <row customHeight="1" ht="11.25">
      <c r="A100" s="1850" t="s">
        <v>2246</v>
      </c>
      <c r="B100" s="1850" t="s">
        <v>16</v>
      </c>
      <c r="C100" s="1850" t="s">
        <v>2605</v>
      </c>
      <c r="D100" s="1850" t="s">
        <v>2606</v>
      </c>
      <c r="E100" s="1850" t="s">
        <v>2386</v>
      </c>
      <c r="F100" s="1850" t="s">
        <v>2607</v>
      </c>
      <c r="G100" s="1850" t="s">
        <v>2608</v>
      </c>
      <c r="H100" s="1850" t="s">
        <v>22</v>
      </c>
      <c r="I100" s="1850" t="s">
        <v>810</v>
      </c>
    </row>
    <row customHeight="1" ht="11.25">
      <c r="A101" s="1850" t="s">
        <v>2246</v>
      </c>
      <c r="B101" s="1850" t="s">
        <v>16</v>
      </c>
      <c r="C101" s="1850" t="s">
        <v>2609</v>
      </c>
      <c r="D101" s="1850" t="s">
        <v>2610</v>
      </c>
      <c r="E101" s="1850" t="s">
        <v>2611</v>
      </c>
      <c r="F101" s="1850" t="s">
        <v>2612</v>
      </c>
      <c r="G101" s="1850" t="s">
        <v>22</v>
      </c>
      <c r="H101" s="1850" t="s">
        <v>22</v>
      </c>
      <c r="I101" s="1850" t="s">
        <v>810</v>
      </c>
    </row>
    <row customHeight="1" ht="11.25">
      <c r="A102" s="1850" t="s">
        <v>2246</v>
      </c>
      <c r="B102" s="1850" t="s">
        <v>16</v>
      </c>
      <c r="C102" s="1850" t="s">
        <v>2613</v>
      </c>
      <c r="D102" s="1850" t="s">
        <v>2614</v>
      </c>
      <c r="E102" s="1850" t="s">
        <v>2615</v>
      </c>
      <c r="F102" s="1850" t="s">
        <v>2562</v>
      </c>
      <c r="G102" s="1850" t="s">
        <v>22</v>
      </c>
      <c r="H102" s="1850" t="s">
        <v>22</v>
      </c>
      <c r="I102" s="1850" t="s">
        <v>810</v>
      </c>
    </row>
    <row customHeight="1" ht="11.25">
      <c r="A103" s="1850" t="s">
        <v>2246</v>
      </c>
      <c r="B103" s="1850" t="s">
        <v>16</v>
      </c>
      <c r="C103" s="1850" t="s">
        <v>2616</v>
      </c>
      <c r="D103" s="1850" t="s">
        <v>2617</v>
      </c>
      <c r="E103" s="1850" t="s">
        <v>2618</v>
      </c>
      <c r="F103" s="1850" t="s">
        <v>2254</v>
      </c>
      <c r="G103" s="1850" t="s">
        <v>22</v>
      </c>
      <c r="H103" s="1850" t="s">
        <v>22</v>
      </c>
      <c r="I103" s="1850" t="s">
        <v>810</v>
      </c>
    </row>
    <row customHeight="1" ht="11.25">
      <c r="A104" s="1850" t="s">
        <v>2246</v>
      </c>
      <c r="B104" s="1850" t="s">
        <v>16</v>
      </c>
      <c r="C104" s="1850" t="s">
        <v>2619</v>
      </c>
      <c r="D104" s="1850" t="s">
        <v>2620</v>
      </c>
      <c r="E104" s="1850" t="s">
        <v>2621</v>
      </c>
      <c r="F104" s="1850" t="s">
        <v>2254</v>
      </c>
      <c r="G104" s="1850" t="s">
        <v>22</v>
      </c>
      <c r="H104" s="1850" t="s">
        <v>22</v>
      </c>
      <c r="I104" s="1850" t="s">
        <v>810</v>
      </c>
    </row>
    <row customHeight="1" ht="11.25">
      <c r="A105" s="1850" t="s">
        <v>2246</v>
      </c>
      <c r="B105" s="1850" t="s">
        <v>16</v>
      </c>
      <c r="C105" s="1850" t="s">
        <v>2622</v>
      </c>
      <c r="D105" s="1850" t="s">
        <v>2623</v>
      </c>
      <c r="E105" s="1850" t="s">
        <v>2624</v>
      </c>
      <c r="F105" s="1850" t="s">
        <v>2306</v>
      </c>
      <c r="G105" s="1850" t="s">
        <v>22</v>
      </c>
      <c r="H105" s="1850" t="s">
        <v>22</v>
      </c>
      <c r="I105" s="1850" t="s">
        <v>810</v>
      </c>
    </row>
    <row customHeight="1" ht="11.25">
      <c r="A106" s="1850" t="s">
        <v>2246</v>
      </c>
      <c r="B106" s="1850" t="s">
        <v>16</v>
      </c>
      <c r="C106" s="1850" t="s">
        <v>2625</v>
      </c>
      <c r="D106" s="1850" t="s">
        <v>2626</v>
      </c>
      <c r="E106" s="1850" t="s">
        <v>2382</v>
      </c>
      <c r="F106" s="1850" t="s">
        <v>2548</v>
      </c>
      <c r="G106" s="1850" t="s">
        <v>22</v>
      </c>
      <c r="H106" s="1850" t="s">
        <v>22</v>
      </c>
      <c r="I106" s="1850" t="s">
        <v>810</v>
      </c>
    </row>
    <row customHeight="1" ht="11.25">
      <c r="A107" s="1850" t="s">
        <v>2246</v>
      </c>
      <c r="B107" s="1850" t="s">
        <v>16</v>
      </c>
      <c r="C107" s="1850" t="s">
        <v>2627</v>
      </c>
      <c r="D107" s="1850" t="s">
        <v>2628</v>
      </c>
      <c r="E107" s="1850" t="s">
        <v>2629</v>
      </c>
      <c r="F107" s="1850" t="s">
        <v>2254</v>
      </c>
      <c r="G107" s="1850" t="s">
        <v>22</v>
      </c>
      <c r="H107" s="1850" t="s">
        <v>22</v>
      </c>
      <c r="I107" s="1850" t="s">
        <v>810</v>
      </c>
    </row>
    <row customHeight="1" ht="11.25">
      <c r="A108" s="1850" t="s">
        <v>2246</v>
      </c>
      <c r="B108" s="1850" t="s">
        <v>16</v>
      </c>
      <c r="C108" s="1850" t="s">
        <v>2630</v>
      </c>
      <c r="D108" s="1850" t="s">
        <v>2631</v>
      </c>
      <c r="E108" s="1850" t="s">
        <v>2632</v>
      </c>
      <c r="F108" s="1850" t="s">
        <v>2254</v>
      </c>
      <c r="G108" s="1850" t="s">
        <v>22</v>
      </c>
      <c r="H108" s="1850" t="s">
        <v>22</v>
      </c>
      <c r="I108" s="1850" t="s">
        <v>810</v>
      </c>
    </row>
    <row customHeight="1" ht="11.25">
      <c r="A109" s="1850" t="s">
        <v>2246</v>
      </c>
      <c r="B109" s="1850" t="s">
        <v>16</v>
      </c>
      <c r="C109" s="1850" t="s">
        <v>2633</v>
      </c>
      <c r="D109" s="1850" t="s">
        <v>2634</v>
      </c>
      <c r="E109" s="1850" t="s">
        <v>2635</v>
      </c>
      <c r="F109" s="1850" t="s">
        <v>2557</v>
      </c>
      <c r="G109" s="1850" t="s">
        <v>22</v>
      </c>
      <c r="H109" s="1850" t="s">
        <v>22</v>
      </c>
      <c r="I109" s="1850" t="s">
        <v>810</v>
      </c>
    </row>
    <row customHeight="1" ht="11.25">
      <c r="A110" s="1850" t="s">
        <v>2246</v>
      </c>
      <c r="B110" s="1850" t="s">
        <v>16</v>
      </c>
      <c r="C110" s="1850" t="s">
        <v>2636</v>
      </c>
      <c r="D110" s="1850" t="s">
        <v>2637</v>
      </c>
      <c r="E110" s="1850" t="s">
        <v>2638</v>
      </c>
      <c r="F110" s="1850" t="s">
        <v>2306</v>
      </c>
      <c r="G110" s="1850" t="s">
        <v>22</v>
      </c>
      <c r="H110" s="1850" t="s">
        <v>22</v>
      </c>
      <c r="I110" s="1850" t="s">
        <v>810</v>
      </c>
    </row>
    <row customHeight="1" ht="11.25">
      <c r="A111" s="1850" t="s">
        <v>2246</v>
      </c>
      <c r="B111" s="1850" t="s">
        <v>16</v>
      </c>
      <c r="C111" s="1850" t="s">
        <v>2639</v>
      </c>
      <c r="D111" s="1850" t="s">
        <v>2640</v>
      </c>
      <c r="E111" s="1850" t="s">
        <v>2641</v>
      </c>
      <c r="F111" s="1850" t="s">
        <v>2306</v>
      </c>
      <c r="G111" s="1850" t="s">
        <v>2642</v>
      </c>
      <c r="H111" s="1850" t="s">
        <v>22</v>
      </c>
      <c r="I111" s="1850" t="s">
        <v>810</v>
      </c>
    </row>
    <row customHeight="1" ht="11.25">
      <c r="A112" s="1850" t="s">
        <v>2246</v>
      </c>
      <c r="B112" s="1850" t="s">
        <v>16</v>
      </c>
      <c r="C112" s="1850" t="s">
        <v>2643</v>
      </c>
      <c r="D112" s="1850" t="s">
        <v>2644</v>
      </c>
      <c r="E112" s="1850" t="s">
        <v>2645</v>
      </c>
      <c r="F112" s="1850" t="s">
        <v>2298</v>
      </c>
      <c r="G112" s="1850" t="s">
        <v>22</v>
      </c>
      <c r="H112" s="1850" t="s">
        <v>22</v>
      </c>
      <c r="I112" s="1850" t="s">
        <v>810</v>
      </c>
    </row>
    <row customHeight="1" ht="11.25">
      <c r="A113" s="1850" t="s">
        <v>2246</v>
      </c>
      <c r="B113" s="1850" t="s">
        <v>16</v>
      </c>
      <c r="C113" s="1850" t="s">
        <v>2646</v>
      </c>
      <c r="D113" s="1850" t="s">
        <v>2647</v>
      </c>
      <c r="E113" s="1850" t="s">
        <v>2648</v>
      </c>
      <c r="F113" s="1850" t="s">
        <v>2306</v>
      </c>
      <c r="G113" s="1850" t="s">
        <v>22</v>
      </c>
      <c r="H113" s="1850" t="s">
        <v>22</v>
      </c>
      <c r="I113" s="1850" t="s">
        <v>810</v>
      </c>
    </row>
    <row customHeight="1" ht="11.25">
      <c r="A114" s="1850" t="s">
        <v>2246</v>
      </c>
      <c r="B114" s="1850" t="s">
        <v>16</v>
      </c>
      <c r="C114" s="1850" t="s">
        <v>2649</v>
      </c>
      <c r="D114" s="1850" t="s">
        <v>2650</v>
      </c>
      <c r="E114" s="1850" t="s">
        <v>2651</v>
      </c>
      <c r="F114" s="1850" t="s">
        <v>2250</v>
      </c>
      <c r="G114" s="1850" t="s">
        <v>22</v>
      </c>
      <c r="H114" s="1850" t="s">
        <v>22</v>
      </c>
      <c r="I114" s="1850" t="s">
        <v>810</v>
      </c>
    </row>
    <row customHeight="1" ht="11.25">
      <c r="A115" s="1850" t="s">
        <v>2246</v>
      </c>
      <c r="B115" s="1850" t="s">
        <v>16</v>
      </c>
      <c r="C115" s="1850" t="s">
        <v>2652</v>
      </c>
      <c r="D115" s="1850" t="s">
        <v>2653</v>
      </c>
      <c r="E115" s="1850" t="s">
        <v>2654</v>
      </c>
      <c r="F115" s="1850" t="s">
        <v>2321</v>
      </c>
      <c r="G115" s="1850" t="s">
        <v>22</v>
      </c>
      <c r="H115" s="1850" t="s">
        <v>22</v>
      </c>
      <c r="I115" s="1850" t="s">
        <v>810</v>
      </c>
    </row>
    <row customHeight="1" ht="11.25">
      <c r="A116" s="1850" t="s">
        <v>2246</v>
      </c>
      <c r="B116" s="1850" t="s">
        <v>16</v>
      </c>
      <c r="C116" s="1850" t="s">
        <v>2655</v>
      </c>
      <c r="D116" s="1850" t="s">
        <v>2656</v>
      </c>
      <c r="E116" s="1850" t="s">
        <v>2657</v>
      </c>
      <c r="F116" s="1850" t="s">
        <v>2254</v>
      </c>
      <c r="G116" s="1850" t="s">
        <v>22</v>
      </c>
      <c r="H116" s="1850" t="s">
        <v>22</v>
      </c>
      <c r="I116" s="1850" t="s">
        <v>810</v>
      </c>
    </row>
    <row customHeight="1" ht="11.25">
      <c r="A117" s="1850" t="s">
        <v>2246</v>
      </c>
      <c r="B117" s="1850" t="s">
        <v>16</v>
      </c>
      <c r="C117" s="1850" t="s">
        <v>2658</v>
      </c>
      <c r="D117" s="1850" t="s">
        <v>2659</v>
      </c>
      <c r="E117" s="1850" t="s">
        <v>2660</v>
      </c>
      <c r="F117" s="1850" t="s">
        <v>2349</v>
      </c>
      <c r="G117" s="1850" t="s">
        <v>2661</v>
      </c>
      <c r="H117" s="1850" t="s">
        <v>22</v>
      </c>
      <c r="I117" s="1850" t="s">
        <v>810</v>
      </c>
    </row>
    <row customHeight="1" ht="11.25">
      <c r="A118" s="1850" t="s">
        <v>2246</v>
      </c>
      <c r="B118" s="1850" t="s">
        <v>16</v>
      </c>
      <c r="C118" s="1850" t="s">
        <v>2662</v>
      </c>
      <c r="D118" s="1850" t="s">
        <v>2663</v>
      </c>
      <c r="E118" s="1850" t="s">
        <v>2664</v>
      </c>
      <c r="F118" s="1850" t="s">
        <v>2254</v>
      </c>
      <c r="G118" s="1850" t="s">
        <v>22</v>
      </c>
      <c r="H118" s="1850" t="s">
        <v>22</v>
      </c>
      <c r="I118" s="1850" t="s">
        <v>810</v>
      </c>
    </row>
    <row customHeight="1" ht="11.25">
      <c r="A119" s="1850" t="s">
        <v>2246</v>
      </c>
      <c r="B119" s="1850" t="s">
        <v>16</v>
      </c>
      <c r="C119" s="1850" t="s">
        <v>2665</v>
      </c>
      <c r="D119" s="1850" t="s">
        <v>2666</v>
      </c>
      <c r="E119" s="1850" t="s">
        <v>2667</v>
      </c>
      <c r="F119" s="1850" t="s">
        <v>2298</v>
      </c>
      <c r="G119" s="1850" t="s">
        <v>2668</v>
      </c>
      <c r="H119" s="1850" t="s">
        <v>22</v>
      </c>
      <c r="I119" s="1850" t="s">
        <v>810</v>
      </c>
    </row>
    <row customHeight="1" ht="11.25">
      <c r="A120" s="1850" t="s">
        <v>2246</v>
      </c>
      <c r="B120" s="1850" t="s">
        <v>16</v>
      </c>
      <c r="C120" s="1850" t="s">
        <v>2669</v>
      </c>
      <c r="D120" s="1850" t="s">
        <v>2670</v>
      </c>
      <c r="E120" s="1850" t="s">
        <v>2671</v>
      </c>
      <c r="F120" s="1850" t="s">
        <v>2672</v>
      </c>
      <c r="G120" s="1850" t="s">
        <v>22</v>
      </c>
      <c r="H120" s="1850" t="s">
        <v>22</v>
      </c>
      <c r="I120" s="1850" t="s">
        <v>810</v>
      </c>
    </row>
    <row customHeight="1" ht="11.25">
      <c r="A121" s="1850" t="s">
        <v>2246</v>
      </c>
      <c r="B121" s="1850" t="s">
        <v>16</v>
      </c>
      <c r="C121" s="1850" t="s">
        <v>2673</v>
      </c>
      <c r="D121" s="1850" t="s">
        <v>2674</v>
      </c>
      <c r="E121" s="1850" t="s">
        <v>2675</v>
      </c>
      <c r="F121" s="1850" t="s">
        <v>2254</v>
      </c>
      <c r="G121" s="1850" t="s">
        <v>22</v>
      </c>
      <c r="H121" s="1850" t="s">
        <v>22</v>
      </c>
      <c r="I121" s="1850" t="s">
        <v>810</v>
      </c>
    </row>
    <row customHeight="1" ht="11.25">
      <c r="A122" s="1850" t="s">
        <v>2246</v>
      </c>
      <c r="B122" s="1850" t="s">
        <v>16</v>
      </c>
      <c r="C122" s="1850" t="s">
        <v>2676</v>
      </c>
      <c r="D122" s="1850" t="s">
        <v>2677</v>
      </c>
      <c r="E122" s="1850" t="s">
        <v>2678</v>
      </c>
      <c r="F122" s="1850" t="s">
        <v>2492</v>
      </c>
      <c r="G122" s="1850" t="s">
        <v>22</v>
      </c>
      <c r="H122" s="1850" t="s">
        <v>22</v>
      </c>
      <c r="I122" s="1850" t="s">
        <v>810</v>
      </c>
    </row>
    <row customHeight="1" ht="11.25">
      <c r="A123" s="1850" t="s">
        <v>2246</v>
      </c>
      <c r="B123" s="1850" t="s">
        <v>16</v>
      </c>
      <c r="C123" s="1850" t="s">
        <v>2679</v>
      </c>
      <c r="D123" s="1850" t="s">
        <v>2680</v>
      </c>
      <c r="E123" s="1850" t="s">
        <v>2681</v>
      </c>
      <c r="F123" s="1850" t="s">
        <v>2562</v>
      </c>
      <c r="G123" s="1850" t="s">
        <v>2682</v>
      </c>
      <c r="H123" s="1850" t="s">
        <v>22</v>
      </c>
      <c r="I123" s="1850" t="s">
        <v>810</v>
      </c>
    </row>
    <row customHeight="1" ht="11.25">
      <c r="A124" s="1850" t="s">
        <v>2246</v>
      </c>
      <c r="B124" s="1850" t="s">
        <v>16</v>
      </c>
      <c r="C124" s="1850" t="s">
        <v>2683</v>
      </c>
      <c r="D124" s="1850" t="s">
        <v>2684</v>
      </c>
      <c r="E124" s="1850" t="s">
        <v>2685</v>
      </c>
      <c r="F124" s="1850" t="s">
        <v>2321</v>
      </c>
      <c r="G124" s="1850" t="s">
        <v>22</v>
      </c>
      <c r="H124" s="1850" t="s">
        <v>22</v>
      </c>
      <c r="I124" s="1850" t="s">
        <v>810</v>
      </c>
    </row>
    <row customHeight="1" ht="11.25">
      <c r="A125" s="1850" t="s">
        <v>2246</v>
      </c>
      <c r="B125" s="1850" t="s">
        <v>16</v>
      </c>
      <c r="C125" s="1850" t="s">
        <v>2686</v>
      </c>
      <c r="D125" s="1850" t="s">
        <v>2687</v>
      </c>
      <c r="E125" s="1850" t="s">
        <v>2688</v>
      </c>
      <c r="F125" s="1850" t="s">
        <v>2306</v>
      </c>
      <c r="G125" s="1850" t="s">
        <v>22</v>
      </c>
      <c r="H125" s="1850" t="s">
        <v>22</v>
      </c>
      <c r="I125" s="1850" t="s">
        <v>810</v>
      </c>
    </row>
    <row customHeight="1" ht="11.25">
      <c r="A126" s="1850" t="s">
        <v>2246</v>
      </c>
      <c r="B126" s="1850" t="s">
        <v>16</v>
      </c>
      <c r="C126" s="1850" t="s">
        <v>2689</v>
      </c>
      <c r="D126" s="1850" t="s">
        <v>2690</v>
      </c>
      <c r="E126" s="1850" t="s">
        <v>2691</v>
      </c>
      <c r="F126" s="1850" t="s">
        <v>2692</v>
      </c>
      <c r="G126" s="1850" t="s">
        <v>2693</v>
      </c>
      <c r="H126" s="1850" t="s">
        <v>22</v>
      </c>
      <c r="I126" s="1850" t="s">
        <v>810</v>
      </c>
    </row>
    <row customHeight="1" ht="11.25">
      <c r="A127" s="1850" t="s">
        <v>2246</v>
      </c>
      <c r="B127" s="1850" t="s">
        <v>16</v>
      </c>
      <c r="C127" s="1850" t="s">
        <v>2694</v>
      </c>
      <c r="D127" s="1850" t="s">
        <v>2690</v>
      </c>
      <c r="E127" s="1850" t="s">
        <v>2691</v>
      </c>
      <c r="F127" s="1850" t="s">
        <v>2695</v>
      </c>
      <c r="G127" s="1850" t="s">
        <v>22</v>
      </c>
      <c r="H127" s="1850" t="s">
        <v>22</v>
      </c>
      <c r="I127" s="1850" t="s">
        <v>810</v>
      </c>
    </row>
    <row customHeight="1" ht="11.25">
      <c r="A128" s="1850" t="s">
        <v>2246</v>
      </c>
      <c r="B128" s="1850" t="s">
        <v>16</v>
      </c>
      <c r="C128" s="1850" t="s">
        <v>2696</v>
      </c>
      <c r="D128" s="1850" t="s">
        <v>2697</v>
      </c>
      <c r="E128" s="1850" t="s">
        <v>2691</v>
      </c>
      <c r="F128" s="1850" t="s">
        <v>2698</v>
      </c>
      <c r="G128" s="1850" t="s">
        <v>22</v>
      </c>
      <c r="H128" s="1850" t="s">
        <v>22</v>
      </c>
      <c r="I128" s="1850" t="s">
        <v>810</v>
      </c>
    </row>
    <row customHeight="1" ht="11.25">
      <c r="A129" s="1850" t="s">
        <v>2246</v>
      </c>
      <c r="B129" s="1850" t="s">
        <v>16</v>
      </c>
      <c r="C129" s="1850" t="s">
        <v>2699</v>
      </c>
      <c r="D129" s="1850" t="s">
        <v>2700</v>
      </c>
      <c r="E129" s="1850" t="s">
        <v>2691</v>
      </c>
      <c r="F129" s="1850" t="s">
        <v>2701</v>
      </c>
      <c r="G129" s="1850" t="s">
        <v>2702</v>
      </c>
      <c r="H129" s="1850" t="s">
        <v>22</v>
      </c>
      <c r="I129" s="1850" t="s">
        <v>810</v>
      </c>
    </row>
    <row customHeight="1" ht="11.25">
      <c r="A130" s="1850" t="s">
        <v>2246</v>
      </c>
      <c r="B130" s="1850" t="s">
        <v>16</v>
      </c>
      <c r="C130" s="1850" t="s">
        <v>2703</v>
      </c>
      <c r="D130" s="1850" t="s">
        <v>2704</v>
      </c>
      <c r="E130" s="1850" t="s">
        <v>2691</v>
      </c>
      <c r="F130" s="1850" t="s">
        <v>2705</v>
      </c>
      <c r="G130" s="1850" t="s">
        <v>22</v>
      </c>
      <c r="H130" s="1850" t="s">
        <v>22</v>
      </c>
      <c r="I130" s="1850" t="s">
        <v>810</v>
      </c>
    </row>
    <row customHeight="1" ht="11.25">
      <c r="A131" s="1850" t="s">
        <v>2246</v>
      </c>
      <c r="B131" s="1850" t="s">
        <v>16</v>
      </c>
      <c r="C131" s="1850" t="s">
        <v>2706</v>
      </c>
      <c r="D131" s="1850" t="s">
        <v>2707</v>
      </c>
      <c r="E131" s="1850" t="s">
        <v>2708</v>
      </c>
      <c r="F131" s="1850" t="s">
        <v>2473</v>
      </c>
      <c r="G131" s="1850" t="s">
        <v>22</v>
      </c>
      <c r="H131" s="1850" t="s">
        <v>22</v>
      </c>
      <c r="I131" s="1850" t="s">
        <v>810</v>
      </c>
    </row>
    <row customHeight="1" ht="11.25">
      <c r="A132" s="1850" t="s">
        <v>2246</v>
      </c>
      <c r="B132" s="1850" t="s">
        <v>16</v>
      </c>
      <c r="C132" s="1850" t="s">
        <v>2709</v>
      </c>
      <c r="D132" s="1850" t="s">
        <v>2710</v>
      </c>
      <c r="E132" s="1850" t="s">
        <v>2711</v>
      </c>
      <c r="F132" s="1850" t="s">
        <v>2313</v>
      </c>
      <c r="G132" s="1850" t="s">
        <v>22</v>
      </c>
      <c r="H132" s="1850" t="s">
        <v>22</v>
      </c>
      <c r="I132" s="1850" t="s">
        <v>810</v>
      </c>
    </row>
    <row customHeight="1" ht="11.25">
      <c r="A133" s="1850" t="s">
        <v>2246</v>
      </c>
      <c r="B133" s="1850" t="s">
        <v>16</v>
      </c>
      <c r="C133" s="1850" t="s">
        <v>2712</v>
      </c>
      <c r="D133" s="1850" t="s">
        <v>2713</v>
      </c>
      <c r="E133" s="1850" t="s">
        <v>2714</v>
      </c>
      <c r="F133" s="1850" t="s">
        <v>2492</v>
      </c>
      <c r="G133" s="1850" t="s">
        <v>22</v>
      </c>
      <c r="H133" s="1850" t="s">
        <v>22</v>
      </c>
      <c r="I133" s="1850" t="s">
        <v>810</v>
      </c>
    </row>
    <row customHeight="1" ht="11.25">
      <c r="A134" s="1850" t="s">
        <v>2246</v>
      </c>
      <c r="B134" s="1850" t="s">
        <v>16</v>
      </c>
      <c r="C134" s="1850" t="s">
        <v>2715</v>
      </c>
      <c r="D134" s="1850" t="s">
        <v>2716</v>
      </c>
      <c r="E134" s="1850" t="s">
        <v>2717</v>
      </c>
      <c r="F134" s="1850" t="s">
        <v>2557</v>
      </c>
      <c r="G134" s="1850" t="s">
        <v>22</v>
      </c>
      <c r="H134" s="1850" t="s">
        <v>22</v>
      </c>
      <c r="I134" s="1850" t="s">
        <v>810</v>
      </c>
    </row>
    <row customHeight="1" ht="11.25">
      <c r="A135" s="1850" t="s">
        <v>2246</v>
      </c>
      <c r="B135" s="1850" t="s">
        <v>16</v>
      </c>
      <c r="C135" s="1850" t="s">
        <v>2718</v>
      </c>
      <c r="D135" s="1850" t="s">
        <v>2719</v>
      </c>
      <c r="E135" s="1850" t="s">
        <v>2720</v>
      </c>
      <c r="F135" s="1850" t="s">
        <v>2250</v>
      </c>
      <c r="G135" s="1850" t="s">
        <v>22</v>
      </c>
      <c r="H135" s="1850" t="s">
        <v>22</v>
      </c>
      <c r="I135" s="1850" t="s">
        <v>810</v>
      </c>
    </row>
    <row customHeight="1" ht="11.25">
      <c r="A136" s="1850" t="s">
        <v>2246</v>
      </c>
      <c r="B136" s="1850" t="s">
        <v>16</v>
      </c>
      <c r="C136" s="1850" t="s">
        <v>2721</v>
      </c>
      <c r="D136" s="1850" t="s">
        <v>2722</v>
      </c>
      <c r="E136" s="1850" t="s">
        <v>2723</v>
      </c>
      <c r="F136" s="1850" t="s">
        <v>2250</v>
      </c>
      <c r="G136" s="1850" t="s">
        <v>22</v>
      </c>
      <c r="H136" s="1850" t="s">
        <v>22</v>
      </c>
      <c r="I136" s="1850" t="s">
        <v>810</v>
      </c>
    </row>
    <row customHeight="1" ht="11.25">
      <c r="A137" s="1850" t="s">
        <v>2246</v>
      </c>
      <c r="B137" s="1850" t="s">
        <v>16</v>
      </c>
      <c r="C137" s="1850" t="s">
        <v>2724</v>
      </c>
      <c r="D137" s="1850" t="s">
        <v>2725</v>
      </c>
      <c r="E137" s="1850" t="s">
        <v>2726</v>
      </c>
      <c r="F137" s="1850" t="s">
        <v>2250</v>
      </c>
      <c r="G137" s="1850" t="s">
        <v>22</v>
      </c>
      <c r="H137" s="1850" t="s">
        <v>22</v>
      </c>
      <c r="I137" s="1850" t="s">
        <v>810</v>
      </c>
    </row>
    <row customHeight="1" ht="11.25">
      <c r="A138" s="1850" t="s">
        <v>2246</v>
      </c>
      <c r="B138" s="1850" t="s">
        <v>16</v>
      </c>
      <c r="C138" s="1850" t="s">
        <v>2727</v>
      </c>
      <c r="D138" s="1850" t="s">
        <v>2728</v>
      </c>
      <c r="E138" s="1850" t="s">
        <v>2729</v>
      </c>
      <c r="F138" s="1850" t="s">
        <v>2250</v>
      </c>
      <c r="G138" s="1850" t="s">
        <v>22</v>
      </c>
      <c r="H138" s="1850" t="s">
        <v>22</v>
      </c>
      <c r="I138" s="1850" t="s">
        <v>810</v>
      </c>
    </row>
    <row customHeight="1" ht="11.25">
      <c r="A139" s="1850" t="s">
        <v>2246</v>
      </c>
      <c r="B139" s="1850" t="s">
        <v>16</v>
      </c>
      <c r="C139" s="1850" t="s">
        <v>2730</v>
      </c>
      <c r="D139" s="1850" t="s">
        <v>2731</v>
      </c>
      <c r="E139" s="1850" t="s">
        <v>2732</v>
      </c>
      <c r="F139" s="1850" t="s">
        <v>2361</v>
      </c>
      <c r="G139" s="1850" t="s">
        <v>22</v>
      </c>
      <c r="H139" s="1850" t="s">
        <v>22</v>
      </c>
      <c r="I139" s="1850" t="s">
        <v>810</v>
      </c>
    </row>
    <row customHeight="1" ht="11.25">
      <c r="A140" s="1850" t="s">
        <v>2246</v>
      </c>
      <c r="B140" s="1850" t="s">
        <v>16</v>
      </c>
      <c r="C140" s="1850" t="s">
        <v>2733</v>
      </c>
      <c r="D140" s="1850" t="s">
        <v>2734</v>
      </c>
      <c r="E140" s="1850" t="s">
        <v>2735</v>
      </c>
      <c r="F140" s="1850" t="s">
        <v>2492</v>
      </c>
      <c r="G140" s="1850" t="s">
        <v>22</v>
      </c>
      <c r="H140" s="1850" t="s">
        <v>22</v>
      </c>
      <c r="I140" s="1850" t="s">
        <v>810</v>
      </c>
    </row>
    <row customHeight="1" ht="11.25">
      <c r="A141" s="1850" t="s">
        <v>2246</v>
      </c>
      <c r="B141" s="1850" t="s">
        <v>16</v>
      </c>
      <c r="C141" s="1850" t="s">
        <v>2736</v>
      </c>
      <c r="D141" s="1850" t="s">
        <v>2737</v>
      </c>
      <c r="E141" s="1850" t="s">
        <v>2738</v>
      </c>
      <c r="F141" s="1850" t="s">
        <v>2482</v>
      </c>
      <c r="G141" s="1850" t="s">
        <v>22</v>
      </c>
      <c r="H141" s="1850" t="s">
        <v>22</v>
      </c>
      <c r="I141" s="1850" t="s">
        <v>810</v>
      </c>
    </row>
    <row customHeight="1" ht="11.25">
      <c r="A142" s="1850" t="s">
        <v>2246</v>
      </c>
      <c r="B142" s="1850" t="s">
        <v>16</v>
      </c>
      <c r="C142" s="1850" t="s">
        <v>2739</v>
      </c>
      <c r="D142" s="1850" t="s">
        <v>2740</v>
      </c>
      <c r="E142" s="1850" t="s">
        <v>2741</v>
      </c>
      <c r="F142" s="1850" t="s">
        <v>2365</v>
      </c>
      <c r="G142" s="1850" t="s">
        <v>22</v>
      </c>
      <c r="H142" s="1850" t="s">
        <v>22</v>
      </c>
      <c r="I142" s="1850" t="s">
        <v>810</v>
      </c>
    </row>
    <row customHeight="1" ht="11.25">
      <c r="A143" s="1850" t="s">
        <v>2246</v>
      </c>
      <c r="B143" s="1850" t="s">
        <v>16</v>
      </c>
      <c r="C143" s="1850" t="s">
        <v>2742</v>
      </c>
      <c r="D143" s="1850" t="s">
        <v>2740</v>
      </c>
      <c r="E143" s="1850" t="s">
        <v>2743</v>
      </c>
      <c r="F143" s="1850" t="s">
        <v>2744</v>
      </c>
      <c r="G143" s="1850" t="s">
        <v>22</v>
      </c>
      <c r="H143" s="1850" t="s">
        <v>22</v>
      </c>
      <c r="I143" s="1850" t="s">
        <v>810</v>
      </c>
    </row>
    <row customHeight="1" ht="11.25">
      <c r="A144" s="1850" t="s">
        <v>2246</v>
      </c>
      <c r="B144" s="1850" t="s">
        <v>16</v>
      </c>
      <c r="C144" s="1850" t="s">
        <v>2745</v>
      </c>
      <c r="D144" s="1850" t="s">
        <v>2746</v>
      </c>
      <c r="E144" s="1850" t="s">
        <v>2747</v>
      </c>
      <c r="F144" s="1850" t="s">
        <v>2361</v>
      </c>
      <c r="G144" s="1850" t="s">
        <v>22</v>
      </c>
      <c r="H144" s="1850" t="s">
        <v>22</v>
      </c>
      <c r="I144" s="1850" t="s">
        <v>810</v>
      </c>
    </row>
    <row customHeight="1" ht="11.25">
      <c r="A145" s="1850" t="s">
        <v>2246</v>
      </c>
      <c r="B145" s="1850" t="s">
        <v>16</v>
      </c>
      <c r="C145" s="1850" t="s">
        <v>2748</v>
      </c>
      <c r="D145" s="1850" t="s">
        <v>2749</v>
      </c>
      <c r="E145" s="1850" t="s">
        <v>2750</v>
      </c>
      <c r="F145" s="1850" t="s">
        <v>2254</v>
      </c>
      <c r="G145" s="1850" t="s">
        <v>22</v>
      </c>
      <c r="H145" s="1850" t="s">
        <v>22</v>
      </c>
      <c r="I145" s="1850" t="s">
        <v>810</v>
      </c>
    </row>
    <row customHeight="1" ht="11.25">
      <c r="A146" s="1850" t="s">
        <v>2246</v>
      </c>
      <c r="B146" s="1850" t="s">
        <v>16</v>
      </c>
      <c r="C146" s="1850" t="s">
        <v>2751</v>
      </c>
      <c r="D146" s="1850" t="s">
        <v>2752</v>
      </c>
      <c r="E146" s="1850" t="s">
        <v>2753</v>
      </c>
      <c r="F146" s="1850" t="s">
        <v>2254</v>
      </c>
      <c r="G146" s="1850" t="s">
        <v>22</v>
      </c>
      <c r="H146" s="1850" t="s">
        <v>22</v>
      </c>
      <c r="I146" s="1850" t="s">
        <v>810</v>
      </c>
    </row>
    <row customHeight="1" ht="11.25">
      <c r="A147" s="1850" t="s">
        <v>2246</v>
      </c>
      <c r="B147" s="1850" t="s">
        <v>16</v>
      </c>
      <c r="C147" s="1850" t="s">
        <v>2754</v>
      </c>
      <c r="D147" s="1850" t="s">
        <v>2755</v>
      </c>
      <c r="E147" s="1850" t="s">
        <v>2756</v>
      </c>
      <c r="F147" s="1850" t="s">
        <v>2365</v>
      </c>
      <c r="G147" s="1850" t="s">
        <v>22</v>
      </c>
      <c r="H147" s="1850" t="s">
        <v>22</v>
      </c>
      <c r="I147" s="1850" t="s">
        <v>810</v>
      </c>
    </row>
    <row customHeight="1" ht="11.25">
      <c r="A148" s="1850" t="s">
        <v>2246</v>
      </c>
      <c r="B148" s="1850" t="s">
        <v>16</v>
      </c>
      <c r="C148" s="1850" t="s">
        <v>2757</v>
      </c>
      <c r="D148" s="1850" t="s">
        <v>2758</v>
      </c>
      <c r="E148" s="1850" t="s">
        <v>2759</v>
      </c>
      <c r="F148" s="1850" t="s">
        <v>2306</v>
      </c>
      <c r="G148" s="1850" t="s">
        <v>2760</v>
      </c>
      <c r="H148" s="1850" t="s">
        <v>22</v>
      </c>
      <c r="I148" s="1850" t="s">
        <v>810</v>
      </c>
    </row>
    <row customHeight="1" ht="11.25">
      <c r="A149" s="1850" t="s">
        <v>2246</v>
      </c>
      <c r="B149" s="1850" t="s">
        <v>16</v>
      </c>
      <c r="C149" s="1850" t="s">
        <v>2761</v>
      </c>
      <c r="D149" s="1850" t="s">
        <v>2762</v>
      </c>
      <c r="E149" s="1850" t="s">
        <v>2763</v>
      </c>
      <c r="F149" s="1850" t="s">
        <v>2254</v>
      </c>
      <c r="G149" s="1850" t="s">
        <v>22</v>
      </c>
      <c r="H149" s="1850" t="s">
        <v>22</v>
      </c>
      <c r="I149" s="1850" t="s">
        <v>810</v>
      </c>
    </row>
    <row customHeight="1" ht="11.25">
      <c r="A150" s="1850" t="s">
        <v>2246</v>
      </c>
      <c r="B150" s="1850" t="s">
        <v>16</v>
      </c>
      <c r="C150" s="1850" t="s">
        <v>2764</v>
      </c>
      <c r="D150" s="1850" t="s">
        <v>2765</v>
      </c>
      <c r="E150" s="1850" t="s">
        <v>2766</v>
      </c>
      <c r="F150" s="1850" t="s">
        <v>2321</v>
      </c>
      <c r="G150" s="1850" t="s">
        <v>22</v>
      </c>
      <c r="H150" s="1850" t="s">
        <v>22</v>
      </c>
      <c r="I150" s="1850" t="s">
        <v>810</v>
      </c>
    </row>
    <row customHeight="1" ht="11.25">
      <c r="A151" s="1850" t="s">
        <v>2246</v>
      </c>
      <c r="B151" s="1850" t="s">
        <v>16</v>
      </c>
      <c r="C151" s="1850" t="s">
        <v>2767</v>
      </c>
      <c r="D151" s="1850" t="s">
        <v>2768</v>
      </c>
      <c r="E151" s="1850" t="s">
        <v>2769</v>
      </c>
      <c r="F151" s="1850" t="s">
        <v>2770</v>
      </c>
      <c r="G151" s="1850" t="s">
        <v>2771</v>
      </c>
      <c r="H151" s="1850" t="s">
        <v>22</v>
      </c>
      <c r="I151" s="1850" t="s">
        <v>810</v>
      </c>
    </row>
    <row customHeight="1" ht="11.25">
      <c r="A152" s="1850" t="s">
        <v>2246</v>
      </c>
      <c r="B152" s="1850" t="s">
        <v>16</v>
      </c>
      <c r="C152" s="1850" t="s">
        <v>2772</v>
      </c>
      <c r="D152" s="1850" t="s">
        <v>2773</v>
      </c>
      <c r="E152" s="1850" t="s">
        <v>2774</v>
      </c>
      <c r="F152" s="1850" t="s">
        <v>2492</v>
      </c>
      <c r="G152" s="1850" t="s">
        <v>22</v>
      </c>
      <c r="H152" s="1850" t="s">
        <v>22</v>
      </c>
      <c r="I152" s="1850" t="s">
        <v>810</v>
      </c>
    </row>
    <row customHeight="1" ht="11.25">
      <c r="A153" s="1850" t="s">
        <v>2246</v>
      </c>
      <c r="B153" s="1850" t="s">
        <v>16</v>
      </c>
      <c r="C153" s="1850" t="s">
        <v>2775</v>
      </c>
      <c r="D153" s="1850" t="s">
        <v>2776</v>
      </c>
      <c r="E153" s="1850" t="s">
        <v>2777</v>
      </c>
      <c r="F153" s="1850" t="s">
        <v>2361</v>
      </c>
      <c r="G153" s="1850" t="s">
        <v>22</v>
      </c>
      <c r="H153" s="1850" t="s">
        <v>22</v>
      </c>
      <c r="I153" s="1850" t="s">
        <v>810</v>
      </c>
    </row>
    <row customHeight="1" ht="11.25">
      <c r="A154" s="1850" t="s">
        <v>2246</v>
      </c>
      <c r="B154" s="1850" t="s">
        <v>16</v>
      </c>
      <c r="C154" s="1850" t="s">
        <v>2778</v>
      </c>
      <c r="D154" s="1850" t="s">
        <v>2779</v>
      </c>
      <c r="E154" s="1850" t="s">
        <v>2780</v>
      </c>
      <c r="F154" s="1850" t="s">
        <v>2492</v>
      </c>
      <c r="G154" s="1850" t="s">
        <v>22</v>
      </c>
      <c r="H154" s="1850" t="s">
        <v>22</v>
      </c>
      <c r="I154" s="1850" t="s">
        <v>810</v>
      </c>
    </row>
    <row customHeight="1" ht="11.25">
      <c r="A155" s="1850" t="s">
        <v>2246</v>
      </c>
      <c r="B155" s="1850" t="s">
        <v>16</v>
      </c>
      <c r="C155" s="1850" t="s">
        <v>2781</v>
      </c>
      <c r="D155" s="1850" t="s">
        <v>2782</v>
      </c>
      <c r="E155" s="1850" t="s">
        <v>2783</v>
      </c>
      <c r="F155" s="1850" t="s">
        <v>2345</v>
      </c>
      <c r="G155" s="1850" t="s">
        <v>22</v>
      </c>
      <c r="H155" s="1850" t="s">
        <v>22</v>
      </c>
      <c r="I155" s="1850" t="s">
        <v>810</v>
      </c>
    </row>
    <row customHeight="1" ht="11.25">
      <c r="A156" s="1850" t="s">
        <v>2246</v>
      </c>
      <c r="B156" s="1850" t="s">
        <v>16</v>
      </c>
      <c r="C156" s="1850" t="s">
        <v>2784</v>
      </c>
      <c r="D156" s="1850" t="s">
        <v>2785</v>
      </c>
      <c r="E156" s="1850" t="s">
        <v>2786</v>
      </c>
      <c r="F156" s="1850" t="s">
        <v>2349</v>
      </c>
      <c r="G156" s="1850" t="s">
        <v>22</v>
      </c>
      <c r="H156" s="1850" t="s">
        <v>22</v>
      </c>
      <c r="I156" s="1850" t="s">
        <v>810</v>
      </c>
    </row>
    <row customHeight="1" ht="11.25">
      <c r="A157" s="1850" t="s">
        <v>2246</v>
      </c>
      <c r="B157" s="1850" t="s">
        <v>16</v>
      </c>
      <c r="C157" s="1850" t="s">
        <v>2787</v>
      </c>
      <c r="D157" s="1850" t="s">
        <v>2788</v>
      </c>
      <c r="E157" s="1850" t="s">
        <v>2789</v>
      </c>
      <c r="F157" s="1850" t="s">
        <v>2790</v>
      </c>
      <c r="G157" s="1850" t="s">
        <v>22</v>
      </c>
      <c r="H157" s="1850" t="s">
        <v>22</v>
      </c>
      <c r="I157" s="1850" t="s">
        <v>810</v>
      </c>
    </row>
    <row customHeight="1" ht="11.25">
      <c r="A158" s="1850" t="s">
        <v>2246</v>
      </c>
      <c r="B158" s="1850" t="s">
        <v>16</v>
      </c>
      <c r="C158" s="1850" t="s">
        <v>2791</v>
      </c>
      <c r="D158" s="1850" t="s">
        <v>2792</v>
      </c>
      <c r="E158" s="1850" t="s">
        <v>2793</v>
      </c>
      <c r="F158" s="1850" t="s">
        <v>2345</v>
      </c>
      <c r="G158" s="1850" t="s">
        <v>22</v>
      </c>
      <c r="H158" s="1850" t="s">
        <v>22</v>
      </c>
      <c r="I158" s="1850" t="s">
        <v>810</v>
      </c>
    </row>
    <row customHeight="1" ht="11.25">
      <c r="A159" s="1850" t="s">
        <v>2246</v>
      </c>
      <c r="B159" s="1850" t="s">
        <v>16</v>
      </c>
      <c r="C159" s="1850" t="s">
        <v>2794</v>
      </c>
      <c r="D159" s="1850" t="s">
        <v>2795</v>
      </c>
      <c r="E159" s="1850" t="s">
        <v>2796</v>
      </c>
      <c r="F159" s="1850" t="s">
        <v>2361</v>
      </c>
      <c r="G159" s="1850" t="s">
        <v>2478</v>
      </c>
      <c r="H159" s="1850" t="s">
        <v>22</v>
      </c>
      <c r="I159" s="1850" t="s">
        <v>810</v>
      </c>
    </row>
    <row customHeight="1" ht="11.25">
      <c r="A160" s="1850" t="s">
        <v>2246</v>
      </c>
      <c r="B160" s="1850" t="s">
        <v>16</v>
      </c>
      <c r="C160" s="1850" t="s">
        <v>2797</v>
      </c>
      <c r="D160" s="1850" t="s">
        <v>2798</v>
      </c>
      <c r="E160" s="1850" t="s">
        <v>2799</v>
      </c>
      <c r="F160" s="1850" t="s">
        <v>2529</v>
      </c>
      <c r="G160" s="1850" t="s">
        <v>22</v>
      </c>
      <c r="H160" s="1850" t="s">
        <v>22</v>
      </c>
      <c r="I160" s="1850" t="s">
        <v>810</v>
      </c>
    </row>
    <row customHeight="1" ht="11.25">
      <c r="A161" s="1850" t="s">
        <v>2246</v>
      </c>
      <c r="B161" s="1850" t="s">
        <v>16</v>
      </c>
      <c r="C161" s="1850" t="s">
        <v>2800</v>
      </c>
      <c r="D161" s="1850" t="s">
        <v>2801</v>
      </c>
      <c r="E161" s="1850" t="s">
        <v>2802</v>
      </c>
      <c r="F161" s="1850" t="s">
        <v>2492</v>
      </c>
      <c r="G161" s="1850" t="s">
        <v>22</v>
      </c>
      <c r="H161" s="1850" t="s">
        <v>22</v>
      </c>
      <c r="I161" s="1850" t="s">
        <v>810</v>
      </c>
    </row>
    <row customHeight="1" ht="11.25">
      <c r="A162" s="1850" t="s">
        <v>2246</v>
      </c>
      <c r="B162" s="1850" t="s">
        <v>16</v>
      </c>
      <c r="C162" s="1850" t="s">
        <v>2803</v>
      </c>
      <c r="D162" s="1850" t="s">
        <v>2804</v>
      </c>
      <c r="E162" s="1850" t="s">
        <v>2805</v>
      </c>
      <c r="F162" s="1850" t="s">
        <v>2503</v>
      </c>
      <c r="G162" s="1850" t="s">
        <v>22</v>
      </c>
      <c r="H162" s="1850" t="s">
        <v>22</v>
      </c>
      <c r="I162" s="1850" t="s">
        <v>810</v>
      </c>
    </row>
    <row customHeight="1" ht="11.25">
      <c r="A163" s="1850" t="s">
        <v>2246</v>
      </c>
      <c r="B163" s="1850" t="s">
        <v>16</v>
      </c>
      <c r="C163" s="1850" t="s">
        <v>2806</v>
      </c>
      <c r="D163" s="1850" t="s">
        <v>2807</v>
      </c>
      <c r="E163" s="1850" t="s">
        <v>2808</v>
      </c>
      <c r="F163" s="1850" t="s">
        <v>2473</v>
      </c>
      <c r="G163" s="1850" t="s">
        <v>22</v>
      </c>
      <c r="H163" s="1850" t="s">
        <v>22</v>
      </c>
      <c r="I163" s="1850" t="s">
        <v>810</v>
      </c>
    </row>
    <row customHeight="1" ht="11.25">
      <c r="A164" s="1850" t="s">
        <v>2246</v>
      </c>
      <c r="B164" s="1850" t="s">
        <v>16</v>
      </c>
      <c r="C164" s="1850" t="s">
        <v>2809</v>
      </c>
      <c r="D164" s="1850" t="s">
        <v>2810</v>
      </c>
      <c r="E164" s="1850" t="s">
        <v>2811</v>
      </c>
      <c r="F164" s="1850" t="s">
        <v>2365</v>
      </c>
      <c r="G164" s="1850" t="s">
        <v>22</v>
      </c>
      <c r="H164" s="1850" t="s">
        <v>22</v>
      </c>
      <c r="I164" s="1850" t="s">
        <v>810</v>
      </c>
    </row>
    <row customHeight="1" ht="11.25">
      <c r="A165" s="1850" t="s">
        <v>2246</v>
      </c>
      <c r="B165" s="1850" t="s">
        <v>16</v>
      </c>
      <c r="C165" s="1850" t="s">
        <v>2812</v>
      </c>
      <c r="D165" s="1850" t="s">
        <v>2813</v>
      </c>
      <c r="E165" s="1850" t="s">
        <v>2814</v>
      </c>
      <c r="F165" s="1850" t="s">
        <v>2254</v>
      </c>
      <c r="G165" s="1850" t="s">
        <v>22</v>
      </c>
      <c r="H165" s="1850" t="s">
        <v>22</v>
      </c>
      <c r="I165" s="1850" t="s">
        <v>810</v>
      </c>
    </row>
    <row customHeight="1" ht="11.25">
      <c r="A166" s="1850" t="s">
        <v>2246</v>
      </c>
      <c r="B166" s="1850" t="s">
        <v>16</v>
      </c>
      <c r="C166" s="1850" t="s">
        <v>2815</v>
      </c>
      <c r="D166" s="1850" t="s">
        <v>2816</v>
      </c>
      <c r="E166" s="1850" t="s">
        <v>2817</v>
      </c>
      <c r="F166" s="1850" t="s">
        <v>2672</v>
      </c>
      <c r="G166" s="1850" t="s">
        <v>22</v>
      </c>
      <c r="H166" s="1850" t="s">
        <v>22</v>
      </c>
      <c r="I166" s="1850" t="s">
        <v>810</v>
      </c>
    </row>
    <row customHeight="1" ht="11.25">
      <c r="A167" s="1850" t="s">
        <v>2246</v>
      </c>
      <c r="B167" s="1850" t="s">
        <v>16</v>
      </c>
      <c r="C167" s="1850" t="s">
        <v>2818</v>
      </c>
      <c r="D167" s="1850" t="s">
        <v>2819</v>
      </c>
      <c r="E167" s="1850" t="s">
        <v>2820</v>
      </c>
      <c r="F167" s="1850" t="s">
        <v>2353</v>
      </c>
      <c r="G167" s="1850" t="s">
        <v>22</v>
      </c>
      <c r="H167" s="1850" t="s">
        <v>22</v>
      </c>
      <c r="I167" s="1850" t="s">
        <v>810</v>
      </c>
    </row>
    <row customHeight="1" ht="11.25">
      <c r="A168" s="1850" t="s">
        <v>2246</v>
      </c>
      <c r="B168" s="1850" t="s">
        <v>16</v>
      </c>
      <c r="C168" s="1850" t="s">
        <v>2821</v>
      </c>
      <c r="D168" s="1850" t="s">
        <v>2822</v>
      </c>
      <c r="E168" s="1850" t="s">
        <v>2823</v>
      </c>
      <c r="F168" s="1850" t="s">
        <v>2306</v>
      </c>
      <c r="G168" s="1850" t="s">
        <v>22</v>
      </c>
      <c r="H168" s="1850" t="s">
        <v>22</v>
      </c>
      <c r="I168" s="1850" t="s">
        <v>810</v>
      </c>
    </row>
    <row customHeight="1" ht="11.25">
      <c r="A169" s="1850" t="s">
        <v>2246</v>
      </c>
      <c r="B169" s="1850" t="s">
        <v>16</v>
      </c>
      <c r="C169" s="1850" t="s">
        <v>2824</v>
      </c>
      <c r="D169" s="1850" t="s">
        <v>2825</v>
      </c>
      <c r="E169" s="1850" t="s">
        <v>2826</v>
      </c>
      <c r="F169" s="1850" t="s">
        <v>2492</v>
      </c>
      <c r="G169" s="1850" t="s">
        <v>22</v>
      </c>
      <c r="H169" s="1850" t="s">
        <v>22</v>
      </c>
      <c r="I169" s="1850" t="s">
        <v>810</v>
      </c>
    </row>
    <row customHeight="1" ht="11.25">
      <c r="A170" s="1850" t="s">
        <v>2246</v>
      </c>
      <c r="B170" s="1850" t="s">
        <v>16</v>
      </c>
      <c r="C170" s="1850" t="s">
        <v>2827</v>
      </c>
      <c r="D170" s="1850" t="s">
        <v>2828</v>
      </c>
      <c r="E170" s="1850" t="s">
        <v>2829</v>
      </c>
      <c r="F170" s="1850" t="s">
        <v>2254</v>
      </c>
      <c r="G170" s="1850" t="s">
        <v>22</v>
      </c>
      <c r="H170" s="1850" t="s">
        <v>22</v>
      </c>
      <c r="I170" s="1850" t="s">
        <v>810</v>
      </c>
    </row>
    <row customHeight="1" ht="11.25">
      <c r="A171" s="1850" t="s">
        <v>2246</v>
      </c>
      <c r="B171" s="1850" t="s">
        <v>16</v>
      </c>
      <c r="C171" s="1850" t="s">
        <v>2830</v>
      </c>
      <c r="D171" s="1850" t="s">
        <v>2831</v>
      </c>
      <c r="E171" s="1850" t="s">
        <v>2832</v>
      </c>
      <c r="F171" s="1850" t="s">
        <v>2525</v>
      </c>
      <c r="G171" s="1850" t="s">
        <v>22</v>
      </c>
      <c r="H171" s="1850" t="s">
        <v>22</v>
      </c>
      <c r="I171" s="1850" t="s">
        <v>810</v>
      </c>
    </row>
    <row customHeight="1" ht="11.25">
      <c r="A172" s="1850" t="s">
        <v>2246</v>
      </c>
      <c r="B172" s="1850" t="s">
        <v>16</v>
      </c>
      <c r="C172" s="1850" t="s">
        <v>2833</v>
      </c>
      <c r="D172" s="1850" t="s">
        <v>2834</v>
      </c>
      <c r="E172" s="1850" t="s">
        <v>2835</v>
      </c>
      <c r="F172" s="1850" t="s">
        <v>2331</v>
      </c>
      <c r="G172" s="1850" t="s">
        <v>22</v>
      </c>
      <c r="H172" s="1850" t="s">
        <v>22</v>
      </c>
      <c r="I172" s="1850" t="s">
        <v>810</v>
      </c>
    </row>
    <row customHeight="1" ht="11.25">
      <c r="A173" s="1850" t="s">
        <v>2246</v>
      </c>
      <c r="B173" s="1850" t="s">
        <v>16</v>
      </c>
      <c r="C173" s="1850" t="s">
        <v>2836</v>
      </c>
      <c r="D173" s="1850" t="s">
        <v>2837</v>
      </c>
      <c r="E173" s="1850" t="s">
        <v>2838</v>
      </c>
      <c r="F173" s="1850" t="s">
        <v>2353</v>
      </c>
      <c r="G173" s="1850" t="s">
        <v>22</v>
      </c>
      <c r="H173" s="1850" t="s">
        <v>22</v>
      </c>
      <c r="I173" s="1850" t="s">
        <v>810</v>
      </c>
    </row>
    <row customHeight="1" ht="11.25">
      <c r="A174" s="1850" t="s">
        <v>2246</v>
      </c>
      <c r="B174" s="1850" t="s">
        <v>16</v>
      </c>
      <c r="C174" s="1850" t="s">
        <v>2839</v>
      </c>
      <c r="D174" s="1850" t="s">
        <v>2840</v>
      </c>
      <c r="E174" s="1850" t="s">
        <v>2841</v>
      </c>
      <c r="F174" s="1850" t="s">
        <v>2298</v>
      </c>
      <c r="G174" s="1850" t="s">
        <v>2842</v>
      </c>
      <c r="H174" s="1850" t="s">
        <v>22</v>
      </c>
      <c r="I174" s="1850" t="s">
        <v>810</v>
      </c>
    </row>
    <row customHeight="1" ht="11.25">
      <c r="A175" s="1850" t="s">
        <v>2246</v>
      </c>
      <c r="B175" s="1850" t="s">
        <v>16</v>
      </c>
      <c r="C175" s="1850" t="s">
        <v>2843</v>
      </c>
      <c r="D175" s="1850" t="s">
        <v>2844</v>
      </c>
      <c r="E175" s="1850" t="s">
        <v>2845</v>
      </c>
      <c r="F175" s="1850" t="s">
        <v>2361</v>
      </c>
      <c r="G175" s="1850" t="s">
        <v>22</v>
      </c>
      <c r="H175" s="1850" t="s">
        <v>22</v>
      </c>
      <c r="I175" s="1850" t="s">
        <v>810</v>
      </c>
    </row>
    <row customHeight="1" ht="11.25">
      <c r="A176" s="1850" t="s">
        <v>2246</v>
      </c>
      <c r="B176" s="1850" t="s">
        <v>16</v>
      </c>
      <c r="C176" s="1850" t="s">
        <v>2846</v>
      </c>
      <c r="D176" s="1850" t="s">
        <v>2847</v>
      </c>
      <c r="E176" s="1850" t="s">
        <v>2848</v>
      </c>
      <c r="F176" s="1850" t="s">
        <v>2313</v>
      </c>
      <c r="G176" s="1850" t="s">
        <v>22</v>
      </c>
      <c r="H176" s="1850" t="s">
        <v>22</v>
      </c>
      <c r="I176" s="1850" t="s">
        <v>810</v>
      </c>
    </row>
    <row customHeight="1" ht="11.25">
      <c r="A177" s="1850" t="s">
        <v>2246</v>
      </c>
      <c r="B177" s="1850" t="s">
        <v>16</v>
      </c>
      <c r="C177" s="1850" t="s">
        <v>2849</v>
      </c>
      <c r="D177" s="1850" t="s">
        <v>2850</v>
      </c>
      <c r="E177" s="1850" t="s">
        <v>2851</v>
      </c>
      <c r="F177" s="1850" t="s">
        <v>2593</v>
      </c>
      <c r="G177" s="1850" t="s">
        <v>22</v>
      </c>
      <c r="H177" s="1850" t="s">
        <v>22</v>
      </c>
      <c r="I177" s="1850" t="s">
        <v>810</v>
      </c>
    </row>
    <row customHeight="1" ht="11.25">
      <c r="A178" s="1850" t="s">
        <v>2246</v>
      </c>
      <c r="B178" s="1850" t="s">
        <v>16</v>
      </c>
      <c r="C178" s="1850" t="s">
        <v>2852</v>
      </c>
      <c r="D178" s="1850" t="s">
        <v>2853</v>
      </c>
      <c r="E178" s="1850" t="s">
        <v>2854</v>
      </c>
      <c r="F178" s="1850" t="s">
        <v>2593</v>
      </c>
      <c r="G178" s="1850" t="s">
        <v>22</v>
      </c>
      <c r="H178" s="1850" t="s">
        <v>22</v>
      </c>
      <c r="I178" s="1850" t="s">
        <v>810</v>
      </c>
    </row>
    <row customHeight="1" ht="11.25">
      <c r="A179" s="1850" t="s">
        <v>2246</v>
      </c>
      <c r="B179" s="1850" t="s">
        <v>16</v>
      </c>
      <c r="C179" s="1850" t="s">
        <v>2855</v>
      </c>
      <c r="D179" s="1850" t="s">
        <v>2856</v>
      </c>
      <c r="E179" s="1850" t="s">
        <v>2857</v>
      </c>
      <c r="F179" s="1850" t="s">
        <v>2254</v>
      </c>
      <c r="G179" s="1850" t="s">
        <v>2858</v>
      </c>
      <c r="H179" s="1850" t="s">
        <v>22</v>
      </c>
      <c r="I179" s="1850" t="s">
        <v>810</v>
      </c>
    </row>
    <row customHeight="1" ht="11.25">
      <c r="A180" s="1850" t="s">
        <v>2246</v>
      </c>
      <c r="B180" s="1850" t="s">
        <v>16</v>
      </c>
      <c r="C180" s="1850" t="s">
        <v>2859</v>
      </c>
      <c r="D180" s="1850" t="s">
        <v>2860</v>
      </c>
      <c r="E180" s="1850" t="s">
        <v>2861</v>
      </c>
      <c r="F180" s="1850" t="s">
        <v>2306</v>
      </c>
      <c r="G180" s="1850" t="s">
        <v>2862</v>
      </c>
      <c r="H180" s="1850" t="s">
        <v>22</v>
      </c>
      <c r="I180" s="1850" t="s">
        <v>810</v>
      </c>
    </row>
    <row customHeight="1" ht="11.25">
      <c r="A181" s="1850" t="s">
        <v>2246</v>
      </c>
      <c r="B181" s="1850" t="s">
        <v>16</v>
      </c>
      <c r="C181" s="1850" t="s">
        <v>2863</v>
      </c>
      <c r="D181" s="1850" t="s">
        <v>2864</v>
      </c>
      <c r="E181" s="1850" t="s">
        <v>2865</v>
      </c>
      <c r="F181" s="1850" t="s">
        <v>2313</v>
      </c>
      <c r="G181" s="1850" t="s">
        <v>2866</v>
      </c>
      <c r="H181" s="1850" t="s">
        <v>22</v>
      </c>
      <c r="I181" s="1850" t="s">
        <v>810</v>
      </c>
    </row>
    <row customHeight="1" ht="11.25">
      <c r="A182" s="1850" t="s">
        <v>2246</v>
      </c>
      <c r="B182" s="1850" t="s">
        <v>16</v>
      </c>
      <c r="C182" s="1850" t="s">
        <v>2867</v>
      </c>
      <c r="D182" s="1850" t="s">
        <v>2868</v>
      </c>
      <c r="E182" s="1850" t="s">
        <v>2869</v>
      </c>
      <c r="F182" s="1850" t="s">
        <v>2254</v>
      </c>
      <c r="G182" s="1850" t="s">
        <v>22</v>
      </c>
      <c r="H182" s="1850" t="s">
        <v>22</v>
      </c>
      <c r="I182" s="1850" t="s">
        <v>810</v>
      </c>
    </row>
    <row customHeight="1" ht="11.25">
      <c r="A183" s="1850" t="s">
        <v>2246</v>
      </c>
      <c r="B183" s="1850" t="s">
        <v>16</v>
      </c>
      <c r="C183" s="1850" t="s">
        <v>2870</v>
      </c>
      <c r="D183" s="1850" t="s">
        <v>2871</v>
      </c>
      <c r="E183" s="1850" t="s">
        <v>2872</v>
      </c>
      <c r="F183" s="1850" t="s">
        <v>2542</v>
      </c>
      <c r="G183" s="1850" t="s">
        <v>22</v>
      </c>
      <c r="H183" s="1850" t="s">
        <v>22</v>
      </c>
      <c r="I183" s="1850" t="s">
        <v>810</v>
      </c>
    </row>
    <row customHeight="1" ht="11.25">
      <c r="A184" s="1850" t="s">
        <v>2246</v>
      </c>
      <c r="B184" s="1850" t="s">
        <v>16</v>
      </c>
      <c r="C184" s="1850" t="s">
        <v>2873</v>
      </c>
      <c r="D184" s="1850" t="s">
        <v>2874</v>
      </c>
      <c r="E184" s="1850" t="s">
        <v>2875</v>
      </c>
      <c r="F184" s="1850" t="s">
        <v>2250</v>
      </c>
      <c r="G184" s="1850" t="s">
        <v>22</v>
      </c>
      <c r="H184" s="1850" t="s">
        <v>22</v>
      </c>
      <c r="I184" s="1850" t="s">
        <v>810</v>
      </c>
    </row>
    <row customHeight="1" ht="11.25">
      <c r="A185" s="1850" t="s">
        <v>2246</v>
      </c>
      <c r="B185" s="1850" t="s">
        <v>16</v>
      </c>
      <c r="C185" s="1850" t="s">
        <v>2876</v>
      </c>
      <c r="D185" s="1850" t="s">
        <v>2877</v>
      </c>
      <c r="E185" s="1850" t="s">
        <v>2878</v>
      </c>
      <c r="F185" s="1850" t="s">
        <v>2254</v>
      </c>
      <c r="G185" s="1850" t="s">
        <v>22</v>
      </c>
      <c r="H185" s="1850" t="s">
        <v>22</v>
      </c>
      <c r="I185" s="1850" t="s">
        <v>810</v>
      </c>
    </row>
    <row customHeight="1" ht="11.25">
      <c r="A186" s="1850" t="s">
        <v>2246</v>
      </c>
      <c r="B186" s="1850" t="s">
        <v>16</v>
      </c>
      <c r="C186" s="1850" t="s">
        <v>2879</v>
      </c>
      <c r="D186" s="1850" t="s">
        <v>2880</v>
      </c>
      <c r="E186" s="1850" t="s">
        <v>2881</v>
      </c>
      <c r="F186" s="1850" t="s">
        <v>2557</v>
      </c>
      <c r="G186" s="1850" t="s">
        <v>22</v>
      </c>
      <c r="H186" s="1850" t="s">
        <v>22</v>
      </c>
      <c r="I186" s="1850" t="s">
        <v>810</v>
      </c>
    </row>
    <row customHeight="1" ht="11.25">
      <c r="A187" s="1850" t="s">
        <v>2246</v>
      </c>
      <c r="B187" s="1850" t="s">
        <v>16</v>
      </c>
      <c r="C187" s="1850" t="s">
        <v>2882</v>
      </c>
      <c r="D187" s="1850" t="s">
        <v>2880</v>
      </c>
      <c r="E187" s="1850" t="s">
        <v>2883</v>
      </c>
      <c r="F187" s="1850" t="s">
        <v>2492</v>
      </c>
      <c r="G187" s="1850" t="s">
        <v>2884</v>
      </c>
      <c r="H187" s="1850" t="s">
        <v>22</v>
      </c>
      <c r="I187" s="1850" t="s">
        <v>810</v>
      </c>
    </row>
    <row customHeight="1" ht="11.25">
      <c r="A188" s="1850" t="s">
        <v>2246</v>
      </c>
      <c r="B188" s="1850" t="s">
        <v>16</v>
      </c>
      <c r="C188" s="1850" t="s">
        <v>2885</v>
      </c>
      <c r="D188" s="1850" t="s">
        <v>2886</v>
      </c>
      <c r="E188" s="1850" t="s">
        <v>2887</v>
      </c>
      <c r="F188" s="1850" t="s">
        <v>2562</v>
      </c>
      <c r="G188" s="1850" t="s">
        <v>22</v>
      </c>
      <c r="H188" s="1850" t="s">
        <v>22</v>
      </c>
      <c r="I188" s="1850" t="s">
        <v>810</v>
      </c>
    </row>
    <row customHeight="1" ht="11.25">
      <c r="A189" s="1850" t="s">
        <v>2246</v>
      </c>
      <c r="B189" s="1850" t="s">
        <v>16</v>
      </c>
      <c r="C189" s="1850" t="s">
        <v>2888</v>
      </c>
      <c r="D189" s="1850" t="s">
        <v>2889</v>
      </c>
      <c r="E189" s="1850" t="s">
        <v>2890</v>
      </c>
      <c r="F189" s="1850" t="s">
        <v>2452</v>
      </c>
      <c r="G189" s="1850" t="s">
        <v>22</v>
      </c>
      <c r="H189" s="1850" t="s">
        <v>22</v>
      </c>
      <c r="I189" s="1850" t="s">
        <v>810</v>
      </c>
    </row>
    <row customHeight="1" ht="11.25">
      <c r="A190" s="1850" t="s">
        <v>2246</v>
      </c>
      <c r="B190" s="1850" t="s">
        <v>16</v>
      </c>
      <c r="C190" s="1850" t="s">
        <v>2891</v>
      </c>
      <c r="D190" s="1850" t="s">
        <v>2892</v>
      </c>
      <c r="E190" s="1850" t="s">
        <v>2893</v>
      </c>
      <c r="F190" s="1850" t="s">
        <v>2353</v>
      </c>
      <c r="G190" s="1850" t="s">
        <v>22</v>
      </c>
      <c r="H190" s="1850" t="s">
        <v>22</v>
      </c>
      <c r="I190" s="1850" t="s">
        <v>810</v>
      </c>
    </row>
    <row customHeight="1" ht="11.25">
      <c r="A191" s="1850" t="s">
        <v>2246</v>
      </c>
      <c r="B191" s="1850" t="s">
        <v>16</v>
      </c>
      <c r="C191" s="1850" t="s">
        <v>2894</v>
      </c>
      <c r="D191" s="1850" t="s">
        <v>2895</v>
      </c>
      <c r="E191" s="1850" t="s">
        <v>2896</v>
      </c>
      <c r="F191" s="1850" t="s">
        <v>2254</v>
      </c>
      <c r="G191" s="1850" t="s">
        <v>22</v>
      </c>
      <c r="H191" s="1850" t="s">
        <v>22</v>
      </c>
      <c r="I191" s="1850" t="s">
        <v>810</v>
      </c>
    </row>
    <row customHeight="1" ht="11.25">
      <c r="A192" s="1850" t="s">
        <v>2246</v>
      </c>
      <c r="B192" s="1850" t="s">
        <v>16</v>
      </c>
      <c r="C192" s="1850" t="s">
        <v>2897</v>
      </c>
      <c r="D192" s="1850" t="s">
        <v>2898</v>
      </c>
      <c r="E192" s="1850" t="s">
        <v>2899</v>
      </c>
      <c r="F192" s="1850" t="s">
        <v>2552</v>
      </c>
      <c r="G192" s="1850" t="s">
        <v>22</v>
      </c>
      <c r="H192" s="1850" t="s">
        <v>22</v>
      </c>
      <c r="I192" s="1850" t="s">
        <v>810</v>
      </c>
    </row>
    <row customHeight="1" ht="11.25">
      <c r="A193" s="1850" t="s">
        <v>2246</v>
      </c>
      <c r="B193" s="1850" t="s">
        <v>16</v>
      </c>
      <c r="C193" s="1850" t="s">
        <v>2900</v>
      </c>
      <c r="D193" s="1850" t="s">
        <v>2901</v>
      </c>
      <c r="E193" s="1850" t="s">
        <v>2902</v>
      </c>
      <c r="F193" s="1850" t="s">
        <v>2353</v>
      </c>
      <c r="G193" s="1850" t="s">
        <v>22</v>
      </c>
      <c r="H193" s="1850" t="s">
        <v>22</v>
      </c>
      <c r="I193" s="1850" t="s">
        <v>810</v>
      </c>
    </row>
    <row customHeight="1" ht="11.25">
      <c r="A194" s="1850" t="s">
        <v>2246</v>
      </c>
      <c r="B194" s="1850" t="s">
        <v>16</v>
      </c>
      <c r="C194" s="1850" t="s">
        <v>2903</v>
      </c>
      <c r="D194" s="1850" t="s">
        <v>2904</v>
      </c>
      <c r="E194" s="1850" t="s">
        <v>2905</v>
      </c>
      <c r="F194" s="1850" t="s">
        <v>2254</v>
      </c>
      <c r="G194" s="1850" t="s">
        <v>22</v>
      </c>
      <c r="H194" s="1850" t="s">
        <v>22</v>
      </c>
      <c r="I194" s="1850" t="s">
        <v>810</v>
      </c>
    </row>
    <row customHeight="1" ht="11.25">
      <c r="A195" s="1850" t="s">
        <v>2246</v>
      </c>
      <c r="B195" s="1850" t="s">
        <v>16</v>
      </c>
      <c r="C195" s="1850" t="s">
        <v>2906</v>
      </c>
      <c r="D195" s="1850" t="s">
        <v>2907</v>
      </c>
      <c r="E195" s="1850" t="s">
        <v>2908</v>
      </c>
      <c r="F195" s="1850" t="s">
        <v>2306</v>
      </c>
      <c r="G195" s="1850" t="s">
        <v>2909</v>
      </c>
      <c r="H195" s="1850" t="s">
        <v>22</v>
      </c>
      <c r="I195" s="1850" t="s">
        <v>810</v>
      </c>
    </row>
    <row customHeight="1" ht="11.25">
      <c r="A196" s="1850" t="s">
        <v>2246</v>
      </c>
      <c r="B196" s="1850" t="s">
        <v>16</v>
      </c>
      <c r="C196" s="1850" t="s">
        <v>2910</v>
      </c>
      <c r="D196" s="1850" t="s">
        <v>2911</v>
      </c>
      <c r="E196" s="1850" t="s">
        <v>2912</v>
      </c>
      <c r="F196" s="1850" t="s">
        <v>2492</v>
      </c>
      <c r="G196" s="1850" t="s">
        <v>22</v>
      </c>
      <c r="H196" s="1850" t="s">
        <v>22</v>
      </c>
      <c r="I196" s="1850" t="s">
        <v>810</v>
      </c>
    </row>
    <row customHeight="1" ht="11.25">
      <c r="A197" s="1850" t="s">
        <v>2246</v>
      </c>
      <c r="B197" s="1850" t="s">
        <v>16</v>
      </c>
      <c r="C197" s="1850" t="s">
        <v>2913</v>
      </c>
      <c r="D197" s="1850" t="s">
        <v>2914</v>
      </c>
      <c r="E197" s="1850" t="s">
        <v>2915</v>
      </c>
      <c r="F197" s="1850" t="s">
        <v>2492</v>
      </c>
      <c r="G197" s="1850" t="s">
        <v>22</v>
      </c>
      <c r="H197" s="1850" t="s">
        <v>22</v>
      </c>
      <c r="I197" s="1850" t="s">
        <v>810</v>
      </c>
    </row>
    <row customHeight="1" ht="11.25">
      <c r="A198" s="1850" t="s">
        <v>2246</v>
      </c>
      <c r="B198" s="1850" t="s">
        <v>16</v>
      </c>
      <c r="C198" s="1850" t="s">
        <v>2916</v>
      </c>
      <c r="D198" s="1850" t="s">
        <v>2917</v>
      </c>
      <c r="E198" s="1850" t="s">
        <v>2918</v>
      </c>
      <c r="F198" s="1850" t="s">
        <v>2452</v>
      </c>
      <c r="G198" s="1850" t="s">
        <v>22</v>
      </c>
      <c r="H198" s="1850" t="s">
        <v>22</v>
      </c>
      <c r="I198" s="1850" t="s">
        <v>810</v>
      </c>
    </row>
    <row customHeight="1" ht="11.25">
      <c r="A199" s="1850" t="s">
        <v>2246</v>
      </c>
      <c r="B199" s="1850" t="s">
        <v>16</v>
      </c>
      <c r="C199" s="1850" t="s">
        <v>2919</v>
      </c>
      <c r="D199" s="1850" t="s">
        <v>2920</v>
      </c>
      <c r="E199" s="1850" t="s">
        <v>2921</v>
      </c>
      <c r="F199" s="1850" t="s">
        <v>2482</v>
      </c>
      <c r="G199" s="1850" t="s">
        <v>22</v>
      </c>
      <c r="H199" s="1850" t="s">
        <v>22</v>
      </c>
      <c r="I199" s="1850" t="s">
        <v>810</v>
      </c>
    </row>
    <row customHeight="1" ht="11.25">
      <c r="A200" s="1850" t="s">
        <v>2246</v>
      </c>
      <c r="B200" s="1850" t="s">
        <v>16</v>
      </c>
      <c r="C200" s="1850" t="s">
        <v>2922</v>
      </c>
      <c r="D200" s="1850" t="s">
        <v>2923</v>
      </c>
      <c r="E200" s="1850" t="s">
        <v>2924</v>
      </c>
      <c r="F200" s="1850" t="s">
        <v>2361</v>
      </c>
      <c r="G200" s="1850" t="s">
        <v>22</v>
      </c>
      <c r="H200" s="1850" t="s">
        <v>22</v>
      </c>
      <c r="I200" s="1850" t="s">
        <v>810</v>
      </c>
    </row>
    <row customHeight="1" ht="11.25">
      <c r="A201" s="1850" t="s">
        <v>2246</v>
      </c>
      <c r="B201" s="1850" t="s">
        <v>16</v>
      </c>
      <c r="C201" s="1850" t="s">
        <v>2925</v>
      </c>
      <c r="D201" s="1850" t="s">
        <v>2926</v>
      </c>
      <c r="E201" s="1850" t="s">
        <v>2927</v>
      </c>
      <c r="F201" s="1850" t="s">
        <v>2672</v>
      </c>
      <c r="G201" s="1850" t="s">
        <v>2928</v>
      </c>
      <c r="H201" s="1850" t="s">
        <v>22</v>
      </c>
      <c r="I201" s="1850" t="s">
        <v>810</v>
      </c>
    </row>
    <row customHeight="1" ht="11.25">
      <c r="A202" s="1850" t="s">
        <v>2246</v>
      </c>
      <c r="B202" s="1850" t="s">
        <v>16</v>
      </c>
      <c r="C202" s="1850" t="s">
        <v>2929</v>
      </c>
      <c r="D202" s="1850" t="s">
        <v>2930</v>
      </c>
      <c r="E202" s="1850" t="s">
        <v>2931</v>
      </c>
      <c r="F202" s="1850" t="s">
        <v>2932</v>
      </c>
      <c r="G202" s="1850" t="s">
        <v>2933</v>
      </c>
      <c r="H202" s="1850" t="s">
        <v>22</v>
      </c>
      <c r="I202" s="1850" t="s">
        <v>810</v>
      </c>
    </row>
    <row customHeight="1" ht="11.25">
      <c r="A203" s="1850" t="s">
        <v>2246</v>
      </c>
      <c r="B203" s="1850" t="s">
        <v>16</v>
      </c>
      <c r="C203" s="1850" t="s">
        <v>2934</v>
      </c>
      <c r="D203" s="1850" t="s">
        <v>2935</v>
      </c>
      <c r="E203" s="1850" t="s">
        <v>2936</v>
      </c>
      <c r="F203" s="1850" t="s">
        <v>2331</v>
      </c>
      <c r="G203" s="1850" t="s">
        <v>22</v>
      </c>
      <c r="H203" s="1850" t="s">
        <v>22</v>
      </c>
      <c r="I203" s="1850" t="s">
        <v>810</v>
      </c>
    </row>
    <row customHeight="1" ht="11.25">
      <c r="A204" s="1850" t="s">
        <v>2246</v>
      </c>
      <c r="B204" s="1850" t="s">
        <v>16</v>
      </c>
      <c r="C204" s="1850" t="s">
        <v>2937</v>
      </c>
      <c r="D204" s="1850" t="s">
        <v>2938</v>
      </c>
      <c r="E204" s="1850" t="s">
        <v>2939</v>
      </c>
      <c r="F204" s="1850" t="s">
        <v>2331</v>
      </c>
      <c r="G204" s="1850" t="s">
        <v>22</v>
      </c>
      <c r="H204" s="1850" t="s">
        <v>22</v>
      </c>
      <c r="I204" s="1850" t="s">
        <v>810</v>
      </c>
    </row>
    <row customHeight="1" ht="11.25">
      <c r="A205" s="1850" t="s">
        <v>2246</v>
      </c>
      <c r="B205" s="1850" t="s">
        <v>16</v>
      </c>
      <c r="C205" s="1850" t="s">
        <v>2940</v>
      </c>
      <c r="D205" s="1850" t="s">
        <v>2941</v>
      </c>
      <c r="E205" s="1850" t="s">
        <v>2942</v>
      </c>
      <c r="F205" s="1850" t="s">
        <v>2331</v>
      </c>
      <c r="G205" s="1850" t="s">
        <v>22</v>
      </c>
      <c r="H205" s="1850" t="s">
        <v>22</v>
      </c>
      <c r="I205" s="1850" t="s">
        <v>810</v>
      </c>
    </row>
    <row customHeight="1" ht="11.25">
      <c r="A206" s="1850" t="s">
        <v>2246</v>
      </c>
      <c r="B206" s="1850" t="s">
        <v>16</v>
      </c>
      <c r="C206" s="1850" t="s">
        <v>2943</v>
      </c>
      <c r="D206" s="1850" t="s">
        <v>2944</v>
      </c>
      <c r="E206" s="1850" t="s">
        <v>2945</v>
      </c>
      <c r="F206" s="1850" t="s">
        <v>2306</v>
      </c>
      <c r="G206" s="1850" t="s">
        <v>22</v>
      </c>
      <c r="H206" s="1850" t="s">
        <v>22</v>
      </c>
      <c r="I206" s="1850" t="s">
        <v>810</v>
      </c>
    </row>
    <row customHeight="1" ht="11.25">
      <c r="A207" s="1850" t="s">
        <v>2246</v>
      </c>
      <c r="B207" s="1850" t="s">
        <v>16</v>
      </c>
      <c r="C207" s="1850" t="s">
        <v>2946</v>
      </c>
      <c r="D207" s="1850" t="s">
        <v>2947</v>
      </c>
      <c r="E207" s="1850" t="s">
        <v>2948</v>
      </c>
      <c r="F207" s="1850" t="s">
        <v>2492</v>
      </c>
      <c r="G207" s="1850" t="s">
        <v>2949</v>
      </c>
      <c r="H207" s="1850" t="s">
        <v>22</v>
      </c>
      <c r="I207" s="1850" t="s">
        <v>810</v>
      </c>
    </row>
    <row customHeight="1" ht="11.25">
      <c r="A208" s="1850" t="s">
        <v>2246</v>
      </c>
      <c r="B208" s="1850" t="s">
        <v>16</v>
      </c>
      <c r="C208" s="1850" t="s">
        <v>2950</v>
      </c>
      <c r="D208" s="1850" t="s">
        <v>2951</v>
      </c>
      <c r="E208" s="1850" t="s">
        <v>2952</v>
      </c>
      <c r="F208" s="1850" t="s">
        <v>2353</v>
      </c>
      <c r="G208" s="1850" t="s">
        <v>22</v>
      </c>
      <c r="H208" s="1850" t="s">
        <v>22</v>
      </c>
      <c r="I208" s="1850" t="s">
        <v>810</v>
      </c>
    </row>
    <row customHeight="1" ht="11.25">
      <c r="A209" s="1850" t="s">
        <v>2246</v>
      </c>
      <c r="B209" s="1850" t="s">
        <v>16</v>
      </c>
      <c r="C209" s="1850" t="s">
        <v>2953</v>
      </c>
      <c r="D209" s="1850" t="s">
        <v>2954</v>
      </c>
      <c r="E209" s="1850" t="s">
        <v>2955</v>
      </c>
      <c r="F209" s="1850" t="s">
        <v>2254</v>
      </c>
      <c r="G209" s="1850" t="s">
        <v>2956</v>
      </c>
      <c r="H209" s="1850" t="s">
        <v>22</v>
      </c>
      <c r="I209" s="1850" t="s">
        <v>810</v>
      </c>
    </row>
    <row customHeight="1" ht="11.25">
      <c r="A210" s="1850" t="s">
        <v>2246</v>
      </c>
      <c r="B210" s="1850" t="s">
        <v>16</v>
      </c>
      <c r="C210" s="1850" t="s">
        <v>2957</v>
      </c>
      <c r="D210" s="1850" t="s">
        <v>2958</v>
      </c>
      <c r="E210" s="1850" t="s">
        <v>2959</v>
      </c>
      <c r="F210" s="1850" t="s">
        <v>2345</v>
      </c>
      <c r="G210" s="1850" t="s">
        <v>22</v>
      </c>
      <c r="H210" s="1850" t="s">
        <v>22</v>
      </c>
      <c r="I210" s="1850" t="s">
        <v>810</v>
      </c>
    </row>
    <row customHeight="1" ht="11.25">
      <c r="A211" s="1850" t="s">
        <v>2246</v>
      </c>
      <c r="B211" s="1850" t="s">
        <v>16</v>
      </c>
      <c r="C211" s="1850" t="s">
        <v>2960</v>
      </c>
      <c r="D211" s="1850" t="s">
        <v>2961</v>
      </c>
      <c r="E211" s="1850" t="s">
        <v>2962</v>
      </c>
      <c r="F211" s="1850" t="s">
        <v>2345</v>
      </c>
      <c r="G211" s="1850" t="s">
        <v>22</v>
      </c>
      <c r="H211" s="1850" t="s">
        <v>22</v>
      </c>
      <c r="I211" s="1850" t="s">
        <v>810</v>
      </c>
    </row>
    <row customHeight="1" ht="11.25">
      <c r="A212" s="1850" t="s">
        <v>2246</v>
      </c>
      <c r="B212" s="1850" t="s">
        <v>16</v>
      </c>
      <c r="C212" s="1850" t="s">
        <v>2963</v>
      </c>
      <c r="D212" s="1850" t="s">
        <v>2964</v>
      </c>
      <c r="E212" s="1850" t="s">
        <v>2965</v>
      </c>
      <c r="F212" s="1850" t="s">
        <v>2298</v>
      </c>
      <c r="G212" s="1850" t="s">
        <v>22</v>
      </c>
      <c r="H212" s="1850" t="s">
        <v>22</v>
      </c>
      <c r="I212" s="1850" t="s">
        <v>810</v>
      </c>
    </row>
    <row customHeight="1" ht="11.25">
      <c r="A213" s="1850" t="s">
        <v>2246</v>
      </c>
      <c r="B213" s="1850" t="s">
        <v>16</v>
      </c>
      <c r="C213" s="1850" t="s">
        <v>2966</v>
      </c>
      <c r="D213" s="1850" t="s">
        <v>2967</v>
      </c>
      <c r="E213" s="1850" t="s">
        <v>2968</v>
      </c>
      <c r="F213" s="1850" t="s">
        <v>2254</v>
      </c>
      <c r="G213" s="1850" t="s">
        <v>22</v>
      </c>
      <c r="H213" s="1850" t="s">
        <v>22</v>
      </c>
      <c r="I213" s="1850" t="s">
        <v>810</v>
      </c>
    </row>
    <row customHeight="1" ht="11.25">
      <c r="A214" s="1850" t="s">
        <v>2246</v>
      </c>
      <c r="B214" s="1850" t="s">
        <v>16</v>
      </c>
      <c r="C214" s="1850" t="s">
        <v>2969</v>
      </c>
      <c r="D214" s="1850" t="s">
        <v>2970</v>
      </c>
      <c r="E214" s="1850" t="s">
        <v>2971</v>
      </c>
      <c r="F214" s="1850" t="s">
        <v>2306</v>
      </c>
      <c r="G214" s="1850" t="s">
        <v>22</v>
      </c>
      <c r="H214" s="1850" t="s">
        <v>22</v>
      </c>
      <c r="I214" s="1850" t="s">
        <v>810</v>
      </c>
    </row>
    <row customHeight="1" ht="11.25">
      <c r="A215" s="1850" t="s">
        <v>2246</v>
      </c>
      <c r="B215" s="1850" t="s">
        <v>16</v>
      </c>
      <c r="C215" s="1850" t="s">
        <v>2972</v>
      </c>
      <c r="D215" s="1850" t="s">
        <v>2973</v>
      </c>
      <c r="E215" s="1850" t="s">
        <v>2974</v>
      </c>
      <c r="F215" s="1850" t="s">
        <v>2254</v>
      </c>
      <c r="G215" s="1850" t="s">
        <v>22</v>
      </c>
      <c r="H215" s="1850" t="s">
        <v>22</v>
      </c>
      <c r="I215" s="1850" t="s">
        <v>810</v>
      </c>
    </row>
    <row customHeight="1" ht="11.25">
      <c r="A216" s="1850" t="s">
        <v>2246</v>
      </c>
      <c r="B216" s="1850" t="s">
        <v>16</v>
      </c>
      <c r="C216" s="1850" t="s">
        <v>2975</v>
      </c>
      <c r="D216" s="1850" t="s">
        <v>2976</v>
      </c>
      <c r="E216" s="1850" t="s">
        <v>2977</v>
      </c>
      <c r="F216" s="1850" t="s">
        <v>2254</v>
      </c>
      <c r="G216" s="1850" t="s">
        <v>22</v>
      </c>
      <c r="H216" s="1850" t="s">
        <v>22</v>
      </c>
      <c r="I216" s="1850" t="s">
        <v>810</v>
      </c>
    </row>
    <row customHeight="1" ht="11.25">
      <c r="A217" s="1850" t="s">
        <v>2246</v>
      </c>
      <c r="B217" s="1850" t="s">
        <v>16</v>
      </c>
      <c r="C217" s="1850" t="s">
        <v>2978</v>
      </c>
      <c r="D217" s="1850" t="s">
        <v>2979</v>
      </c>
      <c r="E217" s="1850" t="s">
        <v>2980</v>
      </c>
      <c r="F217" s="1850" t="s">
        <v>2790</v>
      </c>
      <c r="G217" s="1850" t="s">
        <v>22</v>
      </c>
      <c r="H217" s="1850" t="s">
        <v>22</v>
      </c>
      <c r="I217" s="1850" t="s">
        <v>810</v>
      </c>
    </row>
    <row customHeight="1" ht="11.25">
      <c r="A218" s="1850" t="s">
        <v>2246</v>
      </c>
      <c r="B218" s="1850" t="s">
        <v>16</v>
      </c>
      <c r="C218" s="1850" t="s">
        <v>2981</v>
      </c>
      <c r="D218" s="1850" t="s">
        <v>2982</v>
      </c>
      <c r="E218" s="1850" t="s">
        <v>2983</v>
      </c>
      <c r="F218" s="1850" t="s">
        <v>2254</v>
      </c>
      <c r="G218" s="1850" t="s">
        <v>22</v>
      </c>
      <c r="H218" s="1850" t="s">
        <v>22</v>
      </c>
      <c r="I218" s="1850" t="s">
        <v>810</v>
      </c>
    </row>
    <row customHeight="1" ht="11.25">
      <c r="A219" s="1850" t="s">
        <v>2246</v>
      </c>
      <c r="B219" s="1850" t="s">
        <v>16</v>
      </c>
      <c r="C219" s="1850" t="s">
        <v>2984</v>
      </c>
      <c r="D219" s="1850" t="s">
        <v>2985</v>
      </c>
      <c r="E219" s="1850" t="s">
        <v>2986</v>
      </c>
      <c r="F219" s="1850" t="s">
        <v>2525</v>
      </c>
      <c r="G219" s="1850" t="s">
        <v>2987</v>
      </c>
      <c r="H219" s="1850" t="s">
        <v>22</v>
      </c>
      <c r="I219" s="1850" t="s">
        <v>810</v>
      </c>
    </row>
    <row customHeight="1" ht="11.25">
      <c r="A220" s="1850" t="s">
        <v>2246</v>
      </c>
      <c r="B220" s="1850" t="s">
        <v>16</v>
      </c>
      <c r="C220" s="1850" t="s">
        <v>2988</v>
      </c>
      <c r="D220" s="1850" t="s">
        <v>2989</v>
      </c>
      <c r="E220" s="1850" t="s">
        <v>2990</v>
      </c>
      <c r="F220" s="1850" t="s">
        <v>2254</v>
      </c>
      <c r="G220" s="1850" t="s">
        <v>22</v>
      </c>
      <c r="H220" s="1850" t="s">
        <v>22</v>
      </c>
      <c r="I220" s="1850" t="s">
        <v>810</v>
      </c>
    </row>
    <row customHeight="1" ht="11.25">
      <c r="A221" s="1850" t="s">
        <v>2246</v>
      </c>
      <c r="B221" s="1850" t="s">
        <v>16</v>
      </c>
      <c r="C221" s="1850" t="s">
        <v>2991</v>
      </c>
      <c r="D221" s="1850" t="s">
        <v>2992</v>
      </c>
      <c r="E221" s="1850" t="s">
        <v>2993</v>
      </c>
      <c r="F221" s="1850" t="s">
        <v>2313</v>
      </c>
      <c r="G221" s="1850" t="s">
        <v>2994</v>
      </c>
      <c r="H221" s="1850" t="s">
        <v>22</v>
      </c>
      <c r="I221" s="1850" t="s">
        <v>810</v>
      </c>
    </row>
    <row customHeight="1" ht="11.25">
      <c r="A222" s="1850" t="s">
        <v>2246</v>
      </c>
      <c r="B222" s="1850" t="s">
        <v>16</v>
      </c>
      <c r="C222" s="1850" t="s">
        <v>2995</v>
      </c>
      <c r="D222" s="1850" t="s">
        <v>2996</v>
      </c>
      <c r="E222" s="1850" t="s">
        <v>2997</v>
      </c>
      <c r="F222" s="1850" t="s">
        <v>2254</v>
      </c>
      <c r="G222" s="1850" t="s">
        <v>22</v>
      </c>
      <c r="H222" s="1850" t="s">
        <v>22</v>
      </c>
      <c r="I222" s="1850" t="s">
        <v>810</v>
      </c>
    </row>
    <row customHeight="1" ht="11.25">
      <c r="A223" s="1850" t="s">
        <v>2246</v>
      </c>
      <c r="B223" s="1850" t="s">
        <v>16</v>
      </c>
      <c r="C223" s="1850" t="s">
        <v>2998</v>
      </c>
      <c r="D223" s="1850" t="s">
        <v>2999</v>
      </c>
      <c r="E223" s="1850" t="s">
        <v>3000</v>
      </c>
      <c r="F223" s="1850" t="s">
        <v>2557</v>
      </c>
      <c r="G223" s="1850" t="s">
        <v>2578</v>
      </c>
      <c r="H223" s="1850" t="s">
        <v>22</v>
      </c>
      <c r="I223" s="1850" t="s">
        <v>810</v>
      </c>
    </row>
    <row customHeight="1" ht="11.25">
      <c r="A224" s="1850" t="s">
        <v>2246</v>
      </c>
      <c r="B224" s="1850" t="s">
        <v>16</v>
      </c>
      <c r="C224" s="1850" t="s">
        <v>3001</v>
      </c>
      <c r="D224" s="1850" t="s">
        <v>3002</v>
      </c>
      <c r="E224" s="1850" t="s">
        <v>3003</v>
      </c>
      <c r="F224" s="1850" t="s">
        <v>2306</v>
      </c>
      <c r="G224" s="1850" t="s">
        <v>22</v>
      </c>
      <c r="H224" s="1850" t="s">
        <v>22</v>
      </c>
      <c r="I224" s="1850" t="s">
        <v>810</v>
      </c>
    </row>
    <row customHeight="1" ht="11.25">
      <c r="A225" s="1850" t="s">
        <v>2246</v>
      </c>
      <c r="B225" s="1850" t="s">
        <v>16</v>
      </c>
      <c r="C225" s="1850" t="s">
        <v>3004</v>
      </c>
      <c r="D225" s="1850" t="s">
        <v>3005</v>
      </c>
      <c r="E225" s="1850" t="s">
        <v>3006</v>
      </c>
      <c r="F225" s="1850" t="s">
        <v>2557</v>
      </c>
      <c r="G225" s="1850" t="s">
        <v>2578</v>
      </c>
      <c r="H225" s="1850" t="s">
        <v>22</v>
      </c>
      <c r="I225" s="1850" t="s">
        <v>810</v>
      </c>
    </row>
    <row customHeight="1" ht="11.25">
      <c r="A226" s="1850" t="s">
        <v>2246</v>
      </c>
      <c r="B226" s="1850" t="s">
        <v>16</v>
      </c>
      <c r="C226" s="1850" t="s">
        <v>3007</v>
      </c>
      <c r="D226" s="1850" t="s">
        <v>3008</v>
      </c>
      <c r="E226" s="1850" t="s">
        <v>3009</v>
      </c>
      <c r="F226" s="1850" t="s">
        <v>2254</v>
      </c>
      <c r="G226" s="1850" t="s">
        <v>22</v>
      </c>
      <c r="H226" s="1850" t="s">
        <v>22</v>
      </c>
      <c r="I226" s="1850" t="s">
        <v>810</v>
      </c>
    </row>
    <row customHeight="1" ht="11.25">
      <c r="A227" s="1850" t="s">
        <v>2246</v>
      </c>
      <c r="B227" s="1850" t="s">
        <v>16</v>
      </c>
      <c r="C227" s="1850" t="s">
        <v>3010</v>
      </c>
      <c r="D227" s="1850" t="s">
        <v>3011</v>
      </c>
      <c r="E227" s="1850" t="s">
        <v>3012</v>
      </c>
      <c r="F227" s="1850" t="s">
        <v>2492</v>
      </c>
      <c r="G227" s="1850" t="s">
        <v>22</v>
      </c>
      <c r="H227" s="1850" t="s">
        <v>22</v>
      </c>
      <c r="I227" s="1850" t="s">
        <v>810</v>
      </c>
    </row>
    <row customHeight="1" ht="11.25">
      <c r="A228" s="1850" t="s">
        <v>2246</v>
      </c>
      <c r="B228" s="1850" t="s">
        <v>16</v>
      </c>
      <c r="C228" s="1850" t="s">
        <v>3013</v>
      </c>
      <c r="D228" s="1850" t="s">
        <v>3014</v>
      </c>
      <c r="E228" s="1850" t="s">
        <v>3015</v>
      </c>
      <c r="F228" s="1850" t="s">
        <v>2254</v>
      </c>
      <c r="G228" s="1850" t="s">
        <v>22</v>
      </c>
      <c r="H228" s="1850" t="s">
        <v>22</v>
      </c>
      <c r="I228" s="1850" t="s">
        <v>810</v>
      </c>
    </row>
    <row customHeight="1" ht="11.25">
      <c r="A229" s="1850" t="s">
        <v>2246</v>
      </c>
      <c r="B229" s="1850" t="s">
        <v>16</v>
      </c>
      <c r="C229" s="1850" t="s">
        <v>13</v>
      </c>
      <c r="D229" s="1850" t="s">
        <v>46</v>
      </c>
      <c r="E229" s="1850" t="s">
        <v>49</v>
      </c>
      <c r="F229" s="1850" t="s">
        <v>51</v>
      </c>
      <c r="G229" s="1850" t="s">
        <v>22</v>
      </c>
      <c r="H229" s="1850" t="s">
        <v>22</v>
      </c>
      <c r="I229" s="1850" t="s">
        <v>810</v>
      </c>
    </row>
    <row customHeight="1" ht="11.25">
      <c r="A230" s="1850" t="s">
        <v>2246</v>
      </c>
      <c r="B230" s="1850" t="s">
        <v>16</v>
      </c>
      <c r="C230" s="1850" t="s">
        <v>3016</v>
      </c>
      <c r="D230" s="1850" t="s">
        <v>3017</v>
      </c>
      <c r="E230" s="1850" t="s">
        <v>3018</v>
      </c>
      <c r="F230" s="1850" t="s">
        <v>2306</v>
      </c>
      <c r="G230" s="1850" t="s">
        <v>22</v>
      </c>
      <c r="H230" s="1850" t="s">
        <v>22</v>
      </c>
      <c r="I230" s="1850" t="s">
        <v>810</v>
      </c>
    </row>
    <row customHeight="1" ht="11.25">
      <c r="A231" s="1850" t="s">
        <v>2246</v>
      </c>
      <c r="B231" s="1850" t="s">
        <v>16</v>
      </c>
      <c r="C231" s="1850" t="s">
        <v>3019</v>
      </c>
      <c r="D231" s="1850" t="s">
        <v>3020</v>
      </c>
      <c r="E231" s="1850" t="s">
        <v>3021</v>
      </c>
      <c r="F231" s="1850" t="s">
        <v>2395</v>
      </c>
      <c r="G231" s="1850" t="s">
        <v>22</v>
      </c>
      <c r="H231" s="1850" t="s">
        <v>22</v>
      </c>
      <c r="I231" s="1850" t="s">
        <v>810</v>
      </c>
    </row>
    <row customHeight="1" ht="11.25">
      <c r="A232" s="1850" t="s">
        <v>2246</v>
      </c>
      <c r="B232" s="1850" t="s">
        <v>16</v>
      </c>
      <c r="C232" s="1850" t="s">
        <v>3022</v>
      </c>
      <c r="D232" s="1850" t="s">
        <v>3020</v>
      </c>
      <c r="E232" s="1850" t="s">
        <v>3021</v>
      </c>
      <c r="F232" s="1850" t="s">
        <v>3023</v>
      </c>
      <c r="G232" s="1850" t="s">
        <v>22</v>
      </c>
      <c r="H232" s="1850" t="s">
        <v>22</v>
      </c>
      <c r="I232" s="1850" t="s">
        <v>810</v>
      </c>
    </row>
    <row customHeight="1" ht="11.25">
      <c r="A233" s="1850" t="s">
        <v>2246</v>
      </c>
      <c r="B233" s="1850" t="s">
        <v>16</v>
      </c>
      <c r="C233" s="1850" t="s">
        <v>3024</v>
      </c>
      <c r="D233" s="1850" t="s">
        <v>3025</v>
      </c>
      <c r="E233" s="1850" t="s">
        <v>3026</v>
      </c>
      <c r="F233" s="1850" t="s">
        <v>2254</v>
      </c>
      <c r="G233" s="1850" t="s">
        <v>22</v>
      </c>
      <c r="H233" s="1850" t="s">
        <v>3027</v>
      </c>
      <c r="I233" s="1850" t="s">
        <v>810</v>
      </c>
    </row>
    <row customHeight="1" ht="11.25">
      <c r="A234" s="1850" t="s">
        <v>2246</v>
      </c>
      <c r="B234" s="1850" t="s">
        <v>16</v>
      </c>
      <c r="C234" s="1850" t="s">
        <v>3028</v>
      </c>
      <c r="D234" s="1850" t="s">
        <v>3029</v>
      </c>
      <c r="E234" s="1850" t="s">
        <v>3030</v>
      </c>
      <c r="F234" s="1850" t="s">
        <v>2250</v>
      </c>
      <c r="G234" s="1850" t="s">
        <v>22</v>
      </c>
      <c r="H234" s="1850" t="s">
        <v>22</v>
      </c>
      <c r="I234" s="1850" t="s">
        <v>810</v>
      </c>
    </row>
    <row customHeight="1" ht="11.25">
      <c r="A235" s="1850" t="s">
        <v>2246</v>
      </c>
      <c r="B235" s="1850" t="s">
        <v>16</v>
      </c>
      <c r="C235" s="1850" t="s">
        <v>3031</v>
      </c>
      <c r="D235" s="1850" t="s">
        <v>3032</v>
      </c>
      <c r="E235" s="1850" t="s">
        <v>3033</v>
      </c>
      <c r="F235" s="1850" t="s">
        <v>2298</v>
      </c>
      <c r="G235" s="1850" t="s">
        <v>22</v>
      </c>
      <c r="H235" s="1850" t="s">
        <v>22</v>
      </c>
      <c r="I235" s="1850" t="s">
        <v>810</v>
      </c>
    </row>
    <row customHeight="1" ht="11.25">
      <c r="A236" s="1850" t="s">
        <v>2246</v>
      </c>
      <c r="B236" s="1850" t="s">
        <v>16</v>
      </c>
      <c r="C236" s="1850" t="s">
        <v>3034</v>
      </c>
      <c r="D236" s="1850" t="s">
        <v>3035</v>
      </c>
      <c r="E236" s="1850" t="s">
        <v>3036</v>
      </c>
      <c r="F236" s="1850" t="s">
        <v>2542</v>
      </c>
      <c r="G236" s="1850" t="s">
        <v>22</v>
      </c>
      <c r="H236" s="1850" t="s">
        <v>22</v>
      </c>
      <c r="I236" s="1850" t="s">
        <v>810</v>
      </c>
    </row>
    <row customHeight="1" ht="11.25">
      <c r="A237" s="1850" t="s">
        <v>2246</v>
      </c>
      <c r="B237" s="1850" t="s">
        <v>16</v>
      </c>
      <c r="C237" s="1850" t="s">
        <v>3037</v>
      </c>
      <c r="D237" s="1850" t="s">
        <v>3038</v>
      </c>
      <c r="E237" s="1850" t="s">
        <v>2386</v>
      </c>
      <c r="F237" s="1850" t="s">
        <v>3039</v>
      </c>
      <c r="G237" s="1850" t="s">
        <v>22</v>
      </c>
      <c r="H237" s="1850" t="s">
        <v>22</v>
      </c>
      <c r="I237" s="1850" t="s">
        <v>810</v>
      </c>
    </row>
    <row customHeight="1" ht="11.25">
      <c r="A238" s="1850" t="s">
        <v>2246</v>
      </c>
      <c r="B238" s="1850" t="s">
        <v>16</v>
      </c>
      <c r="C238" s="1850" t="s">
        <v>3040</v>
      </c>
      <c r="D238" s="1850" t="s">
        <v>3041</v>
      </c>
      <c r="E238" s="1850" t="s">
        <v>3042</v>
      </c>
      <c r="F238" s="1850" t="s">
        <v>3043</v>
      </c>
      <c r="G238" s="1850" t="s">
        <v>3044</v>
      </c>
      <c r="H238" s="1850" t="s">
        <v>22</v>
      </c>
      <c r="I238" s="1850" t="s">
        <v>810</v>
      </c>
    </row>
    <row customHeight="1" ht="11.25">
      <c r="A239" s="1850" t="s">
        <v>2246</v>
      </c>
      <c r="B239" s="1850" t="s">
        <v>16</v>
      </c>
      <c r="C239" s="1850" t="s">
        <v>3045</v>
      </c>
      <c r="D239" s="1850" t="s">
        <v>3046</v>
      </c>
      <c r="E239" s="1850" t="s">
        <v>3047</v>
      </c>
      <c r="F239" s="1850" t="s">
        <v>2254</v>
      </c>
      <c r="G239" s="1850" t="s">
        <v>22</v>
      </c>
      <c r="H239" s="1850" t="s">
        <v>22</v>
      </c>
      <c r="I239" s="1850" t="s">
        <v>810</v>
      </c>
    </row>
    <row customHeight="1" ht="11.25">
      <c r="A240" s="1850" t="s">
        <v>2246</v>
      </c>
      <c r="B240" s="1850" t="s">
        <v>16</v>
      </c>
      <c r="C240" s="1850" t="s">
        <v>3048</v>
      </c>
      <c r="D240" s="1850" t="s">
        <v>3049</v>
      </c>
      <c r="E240" s="1850" t="s">
        <v>2382</v>
      </c>
      <c r="F240" s="1850" t="s">
        <v>2254</v>
      </c>
      <c r="G240" s="1850" t="s">
        <v>22</v>
      </c>
      <c r="H240" s="1850" t="s">
        <v>22</v>
      </c>
      <c r="I240" s="1850" t="s">
        <v>810</v>
      </c>
    </row>
    <row customHeight="1" ht="11.25">
      <c r="A241" s="1850" t="s">
        <v>2246</v>
      </c>
      <c r="B241" s="1850" t="s">
        <v>16</v>
      </c>
      <c r="C241" s="1850" t="s">
        <v>3050</v>
      </c>
      <c r="D241" s="1850" t="s">
        <v>3051</v>
      </c>
      <c r="E241" s="1850" t="s">
        <v>3052</v>
      </c>
      <c r="F241" s="1850" t="s">
        <v>3053</v>
      </c>
      <c r="G241" s="1850" t="s">
        <v>22</v>
      </c>
      <c r="H241" s="1850" t="s">
        <v>22</v>
      </c>
      <c r="I241" s="1850" t="s">
        <v>810</v>
      </c>
    </row>
    <row customHeight="1" ht="11.25">
      <c r="A242" s="1850" t="s">
        <v>2246</v>
      </c>
      <c r="B242" s="1850" t="s">
        <v>16</v>
      </c>
      <c r="C242" s="1850" t="s">
        <v>3054</v>
      </c>
      <c r="D242" s="1850" t="s">
        <v>3055</v>
      </c>
      <c r="E242" s="1850" t="s">
        <v>3052</v>
      </c>
      <c r="F242" s="1850" t="s">
        <v>3056</v>
      </c>
      <c r="G242" s="1850" t="s">
        <v>22</v>
      </c>
      <c r="H242" s="1850" t="s">
        <v>22</v>
      </c>
      <c r="I242" s="1850" t="s">
        <v>810</v>
      </c>
    </row>
    <row customHeight="1" ht="11.25">
      <c r="A243" s="1850" t="s">
        <v>2246</v>
      </c>
      <c r="B243" s="1850" t="s">
        <v>16</v>
      </c>
      <c r="C243" s="1850" t="s">
        <v>3057</v>
      </c>
      <c r="D243" s="1850" t="s">
        <v>3058</v>
      </c>
      <c r="E243" s="1850" t="s">
        <v>3059</v>
      </c>
      <c r="F243" s="1850" t="s">
        <v>2313</v>
      </c>
      <c r="G243" s="1850" t="s">
        <v>22</v>
      </c>
      <c r="H243" s="1850" t="s">
        <v>22</v>
      </c>
      <c r="I243" s="1850" t="s">
        <v>810</v>
      </c>
    </row>
    <row customHeight="1" ht="11.25">
      <c r="A244" s="1850" t="s">
        <v>2246</v>
      </c>
      <c r="B244" s="1850" t="s">
        <v>16</v>
      </c>
      <c r="C244" s="1850" t="s">
        <v>3060</v>
      </c>
      <c r="D244" s="1850" t="s">
        <v>3061</v>
      </c>
      <c r="E244" s="1850" t="s">
        <v>2488</v>
      </c>
      <c r="F244" s="1850" t="s">
        <v>2365</v>
      </c>
      <c r="G244" s="1850" t="s">
        <v>22</v>
      </c>
      <c r="H244" s="1850" t="s">
        <v>22</v>
      </c>
      <c r="I244" s="1850" t="s">
        <v>810</v>
      </c>
    </row>
    <row customHeight="1" ht="11.25">
      <c r="A245" s="1850" t="s">
        <v>2246</v>
      </c>
      <c r="B245" s="1850" t="s">
        <v>16</v>
      </c>
      <c r="C245" s="1850" t="s">
        <v>3062</v>
      </c>
      <c r="D245" s="1850" t="s">
        <v>3063</v>
      </c>
      <c r="E245" s="1850" t="s">
        <v>3064</v>
      </c>
      <c r="F245" s="1850" t="s">
        <v>2254</v>
      </c>
      <c r="G245" s="1850" t="s">
        <v>22</v>
      </c>
      <c r="H245" s="1850" t="s">
        <v>22</v>
      </c>
      <c r="I245" s="1850" t="s">
        <v>810</v>
      </c>
    </row>
    <row customHeight="1" ht="11.25">
      <c r="A246" s="1850" t="s">
        <v>2246</v>
      </c>
      <c r="B246" s="1850" t="s">
        <v>16</v>
      </c>
      <c r="C246" s="1850" t="s">
        <v>3065</v>
      </c>
      <c r="D246" s="1850" t="s">
        <v>3066</v>
      </c>
      <c r="E246" s="1850" t="s">
        <v>3067</v>
      </c>
      <c r="F246" s="1850" t="s">
        <v>2402</v>
      </c>
      <c r="G246" s="1850" t="s">
        <v>22</v>
      </c>
      <c r="H246" s="1850" t="s">
        <v>22</v>
      </c>
      <c r="I246" s="1850" t="s">
        <v>810</v>
      </c>
    </row>
    <row customHeight="1" ht="11.25">
      <c r="A247" s="1850" t="s">
        <v>2246</v>
      </c>
      <c r="B247" s="1850" t="s">
        <v>16</v>
      </c>
      <c r="C247" s="1850" t="s">
        <v>3068</v>
      </c>
      <c r="D247" s="1850" t="s">
        <v>3069</v>
      </c>
      <c r="E247" s="1850" t="s">
        <v>3070</v>
      </c>
      <c r="F247" s="1850" t="s">
        <v>2790</v>
      </c>
      <c r="G247" s="1850" t="s">
        <v>3071</v>
      </c>
      <c r="H247" s="1850" t="s">
        <v>22</v>
      </c>
      <c r="I247" s="1850" t="s">
        <v>810</v>
      </c>
    </row>
    <row customHeight="1" ht="11.25">
      <c r="A248" s="1850" t="s">
        <v>2246</v>
      </c>
      <c r="B248" s="1850" t="s">
        <v>16</v>
      </c>
      <c r="C248" s="1850" t="s">
        <v>3072</v>
      </c>
      <c r="D248" s="1850" t="s">
        <v>3073</v>
      </c>
      <c r="E248" s="1850" t="s">
        <v>3074</v>
      </c>
      <c r="F248" s="1850" t="s">
        <v>3075</v>
      </c>
      <c r="G248" s="1850" t="s">
        <v>22</v>
      </c>
      <c r="H248" s="1850" t="s">
        <v>22</v>
      </c>
      <c r="I248" s="1850" t="s">
        <v>810</v>
      </c>
    </row>
    <row customHeight="1" ht="11.25">
      <c r="A249" s="1850" t="s">
        <v>2246</v>
      </c>
      <c r="B249" s="1850" t="s">
        <v>16</v>
      </c>
      <c r="C249" s="1850" t="s">
        <v>2263</v>
      </c>
      <c r="D249" s="1850" t="s">
        <v>2264</v>
      </c>
      <c r="E249" s="1850" t="s">
        <v>2265</v>
      </c>
      <c r="F249" s="1850" t="s">
        <v>2254</v>
      </c>
      <c r="G249" s="1850" t="s">
        <v>2266</v>
      </c>
      <c r="H249" s="1850" t="s">
        <v>22</v>
      </c>
      <c r="I249" s="1850" t="s">
        <v>896</v>
      </c>
    </row>
    <row customHeight="1" ht="11.25">
      <c r="A250" s="1850" t="s">
        <v>2246</v>
      </c>
      <c r="B250" s="1850" t="s">
        <v>16</v>
      </c>
      <c r="C250" s="1850" t="s">
        <v>2271</v>
      </c>
      <c r="D250" s="1850" t="s">
        <v>2272</v>
      </c>
      <c r="E250" s="1850" t="s">
        <v>2273</v>
      </c>
      <c r="F250" s="1850" t="s">
        <v>2254</v>
      </c>
      <c r="G250" s="1850" t="s">
        <v>2274</v>
      </c>
      <c r="H250" s="1850" t="s">
        <v>22</v>
      </c>
      <c r="I250" s="1850" t="s">
        <v>896</v>
      </c>
    </row>
    <row customHeight="1" ht="11.25">
      <c r="A251" s="1850" t="s">
        <v>2246</v>
      </c>
      <c r="B251" s="1850" t="s">
        <v>16</v>
      </c>
      <c r="C251" s="1850" t="s">
        <v>2288</v>
      </c>
      <c r="D251" s="1850" t="s">
        <v>2289</v>
      </c>
      <c r="E251" s="1850" t="s">
        <v>2290</v>
      </c>
      <c r="F251" s="1850" t="s">
        <v>2291</v>
      </c>
      <c r="G251" s="1850" t="s">
        <v>22</v>
      </c>
      <c r="H251" s="1850" t="s">
        <v>22</v>
      </c>
      <c r="I251" s="1850" t="s">
        <v>896</v>
      </c>
    </row>
    <row customHeight="1" ht="11.25">
      <c r="A252" s="1850" t="s">
        <v>2246</v>
      </c>
      <c r="B252" s="1850" t="s">
        <v>16</v>
      </c>
      <c r="C252" s="1850" t="s">
        <v>2295</v>
      </c>
      <c r="D252" s="1850" t="s">
        <v>2296</v>
      </c>
      <c r="E252" s="1850" t="s">
        <v>2297</v>
      </c>
      <c r="F252" s="1850" t="s">
        <v>2298</v>
      </c>
      <c r="G252" s="1850" t="s">
        <v>2299</v>
      </c>
      <c r="H252" s="1850" t="s">
        <v>22</v>
      </c>
      <c r="I252" s="1850" t="s">
        <v>896</v>
      </c>
    </row>
    <row customHeight="1" ht="11.25">
      <c r="A253" s="1850" t="s">
        <v>2246</v>
      </c>
      <c r="B253" s="1850" t="s">
        <v>16</v>
      </c>
      <c r="C253" s="1850" t="s">
        <v>2328</v>
      </c>
      <c r="D253" s="1850" t="s">
        <v>2329</v>
      </c>
      <c r="E253" s="1850" t="s">
        <v>2330</v>
      </c>
      <c r="F253" s="1850" t="s">
        <v>2331</v>
      </c>
      <c r="G253" s="1850" t="s">
        <v>22</v>
      </c>
      <c r="H253" s="1850" t="s">
        <v>22</v>
      </c>
      <c r="I253" s="1850" t="s">
        <v>896</v>
      </c>
    </row>
    <row customHeight="1" ht="11.25">
      <c r="A254" s="1850" t="s">
        <v>2246</v>
      </c>
      <c r="B254" s="1850" t="s">
        <v>16</v>
      </c>
      <c r="C254" s="1850" t="s">
        <v>2332</v>
      </c>
      <c r="D254" s="1850" t="s">
        <v>2333</v>
      </c>
      <c r="E254" s="1850" t="s">
        <v>2334</v>
      </c>
      <c r="F254" s="1850" t="s">
        <v>2335</v>
      </c>
      <c r="G254" s="1850" t="s">
        <v>22</v>
      </c>
      <c r="H254" s="1850" t="s">
        <v>22</v>
      </c>
      <c r="I254" s="1850" t="s">
        <v>896</v>
      </c>
    </row>
    <row customHeight="1" ht="11.25">
      <c r="A255" s="1850" t="s">
        <v>2246</v>
      </c>
      <c r="B255" s="1850" t="s">
        <v>16</v>
      </c>
      <c r="C255" s="1850" t="s">
        <v>2339</v>
      </c>
      <c r="D255" s="1850" t="s">
        <v>2340</v>
      </c>
      <c r="E255" s="1850" t="s">
        <v>2341</v>
      </c>
      <c r="F255" s="1850" t="s">
        <v>2313</v>
      </c>
      <c r="G255" s="1850" t="s">
        <v>22</v>
      </c>
      <c r="H255" s="1850" t="s">
        <v>22</v>
      </c>
      <c r="I255" s="1850" t="s">
        <v>896</v>
      </c>
    </row>
    <row customHeight="1" ht="11.25">
      <c r="A256" s="1850" t="s">
        <v>2246</v>
      </c>
      <c r="B256" s="1850" t="s">
        <v>16</v>
      </c>
      <c r="C256" s="1850" t="s">
        <v>2384</v>
      </c>
      <c r="D256" s="1850" t="s">
        <v>2385</v>
      </c>
      <c r="E256" s="1850" t="s">
        <v>2386</v>
      </c>
      <c r="F256" s="1850" t="s">
        <v>2387</v>
      </c>
      <c r="G256" s="1850" t="s">
        <v>22</v>
      </c>
      <c r="H256" s="1850" t="s">
        <v>22</v>
      </c>
      <c r="I256" s="1850" t="s">
        <v>896</v>
      </c>
    </row>
    <row customHeight="1" ht="11.25">
      <c r="A257" s="1850" t="s">
        <v>2246</v>
      </c>
      <c r="B257" s="1850" t="s">
        <v>16</v>
      </c>
      <c r="C257" s="1850" t="s">
        <v>2396</v>
      </c>
      <c r="D257" s="1850" t="s">
        <v>2397</v>
      </c>
      <c r="E257" s="1850" t="s">
        <v>2386</v>
      </c>
      <c r="F257" s="1850" t="s">
        <v>2398</v>
      </c>
      <c r="G257" s="1850" t="s">
        <v>22</v>
      </c>
      <c r="H257" s="1850" t="s">
        <v>22</v>
      </c>
      <c r="I257" s="1850" t="s">
        <v>896</v>
      </c>
    </row>
    <row customHeight="1" ht="11.25">
      <c r="A258" s="1850" t="s">
        <v>2246</v>
      </c>
      <c r="B258" s="1850" t="s">
        <v>16</v>
      </c>
      <c r="C258" s="1850" t="s">
        <v>2408</v>
      </c>
      <c r="D258" s="1850" t="s">
        <v>2409</v>
      </c>
      <c r="E258" s="1850" t="s">
        <v>2406</v>
      </c>
      <c r="F258" s="1850" t="s">
        <v>2254</v>
      </c>
      <c r="G258" s="1850" t="s">
        <v>22</v>
      </c>
      <c r="H258" s="1850" t="s">
        <v>22</v>
      </c>
      <c r="I258" s="1850" t="s">
        <v>896</v>
      </c>
    </row>
    <row customHeight="1" ht="11.25">
      <c r="A259" s="1850" t="s">
        <v>2246</v>
      </c>
      <c r="B259" s="1850" t="s">
        <v>16</v>
      </c>
      <c r="C259" s="1850" t="s">
        <v>2416</v>
      </c>
      <c r="D259" s="1850" t="s">
        <v>2417</v>
      </c>
      <c r="E259" s="1850" t="s">
        <v>2418</v>
      </c>
      <c r="F259" s="1850" t="s">
        <v>577</v>
      </c>
      <c r="G259" s="1850" t="s">
        <v>2419</v>
      </c>
      <c r="H259" s="1850" t="s">
        <v>22</v>
      </c>
      <c r="I259" s="1850" t="s">
        <v>896</v>
      </c>
    </row>
    <row customHeight="1" ht="11.25">
      <c r="A260" s="1850" t="s">
        <v>2246</v>
      </c>
      <c r="B260" s="1850" t="s">
        <v>16</v>
      </c>
      <c r="C260" s="1850" t="s">
        <v>2442</v>
      </c>
      <c r="D260" s="1850" t="s">
        <v>2443</v>
      </c>
      <c r="E260" s="1850" t="s">
        <v>2444</v>
      </c>
      <c r="F260" s="1850" t="s">
        <v>2445</v>
      </c>
      <c r="G260" s="1850" t="s">
        <v>2446</v>
      </c>
      <c r="H260" s="1850" t="s">
        <v>22</v>
      </c>
      <c r="I260" s="1850" t="s">
        <v>896</v>
      </c>
    </row>
    <row customHeight="1" ht="11.25">
      <c r="A261" s="1850" t="s">
        <v>2246</v>
      </c>
      <c r="B261" s="1850" t="s">
        <v>16</v>
      </c>
      <c r="C261" s="1850" t="s">
        <v>22</v>
      </c>
      <c r="D261" s="1850" t="s">
        <v>2447</v>
      </c>
      <c r="E261" s="1850" t="s">
        <v>2448</v>
      </c>
      <c r="F261" s="1850" t="s">
        <v>2254</v>
      </c>
      <c r="G261" s="1850" t="s">
        <v>22</v>
      </c>
      <c r="H261" s="1850" t="s">
        <v>22</v>
      </c>
      <c r="I261" s="1850" t="s">
        <v>896</v>
      </c>
    </row>
    <row customHeight="1" ht="11.25">
      <c r="A262" s="1850" t="s">
        <v>2246</v>
      </c>
      <c r="B262" s="1850" t="s">
        <v>16</v>
      </c>
      <c r="C262" s="1850" t="s">
        <v>2457</v>
      </c>
      <c r="D262" s="1850" t="s">
        <v>2458</v>
      </c>
      <c r="E262" s="1850" t="s">
        <v>2459</v>
      </c>
      <c r="F262" s="1850" t="s">
        <v>2306</v>
      </c>
      <c r="G262" s="1850" t="s">
        <v>2446</v>
      </c>
      <c r="H262" s="1850" t="s">
        <v>22</v>
      </c>
      <c r="I262" s="1850" t="s">
        <v>896</v>
      </c>
    </row>
    <row customHeight="1" ht="11.25">
      <c r="A263" s="1850" t="s">
        <v>2246</v>
      </c>
      <c r="B263" s="1850" t="s">
        <v>16</v>
      </c>
      <c r="C263" s="1850" t="s">
        <v>2466</v>
      </c>
      <c r="D263" s="1850" t="s">
        <v>2467</v>
      </c>
      <c r="E263" s="1850" t="s">
        <v>2468</v>
      </c>
      <c r="F263" s="1850" t="s">
        <v>2250</v>
      </c>
      <c r="G263" s="1850" t="s">
        <v>2469</v>
      </c>
      <c r="H263" s="1850" t="s">
        <v>22</v>
      </c>
      <c r="I263" s="1850" t="s">
        <v>896</v>
      </c>
    </row>
    <row customHeight="1" ht="11.25">
      <c r="A264" s="1850" t="s">
        <v>2246</v>
      </c>
      <c r="B264" s="1850" t="s">
        <v>16</v>
      </c>
      <c r="C264" s="1850" t="s">
        <v>2489</v>
      </c>
      <c r="D264" s="1850" t="s">
        <v>2490</v>
      </c>
      <c r="E264" s="1850" t="s">
        <v>2491</v>
      </c>
      <c r="F264" s="1850" t="s">
        <v>2492</v>
      </c>
      <c r="G264" s="1850" t="s">
        <v>22</v>
      </c>
      <c r="H264" s="1850" t="s">
        <v>22</v>
      </c>
      <c r="I264" s="1850" t="s">
        <v>896</v>
      </c>
    </row>
    <row customHeight="1" ht="11.25">
      <c r="A265" s="1850" t="s">
        <v>2246</v>
      </c>
      <c r="B265" s="1850" t="s">
        <v>16</v>
      </c>
      <c r="C265" s="1850" t="s">
        <v>2493</v>
      </c>
      <c r="D265" s="1850" t="s">
        <v>2494</v>
      </c>
      <c r="E265" s="1850" t="s">
        <v>2495</v>
      </c>
      <c r="F265" s="1850" t="s">
        <v>2250</v>
      </c>
      <c r="G265" s="1850" t="s">
        <v>22</v>
      </c>
      <c r="H265" s="1850" t="s">
        <v>22</v>
      </c>
      <c r="I265" s="1850" t="s">
        <v>896</v>
      </c>
    </row>
    <row customHeight="1" ht="11.25">
      <c r="A266" s="1850" t="s">
        <v>2246</v>
      </c>
      <c r="B266" s="1850" t="s">
        <v>16</v>
      </c>
      <c r="C266" s="1850" t="s">
        <v>2504</v>
      </c>
      <c r="D266" s="1850" t="s">
        <v>2505</v>
      </c>
      <c r="E266" s="1850" t="s">
        <v>2506</v>
      </c>
      <c r="F266" s="1850" t="s">
        <v>2503</v>
      </c>
      <c r="G266" s="1850" t="s">
        <v>22</v>
      </c>
      <c r="H266" s="1850" t="s">
        <v>22</v>
      </c>
      <c r="I266" s="1850" t="s">
        <v>896</v>
      </c>
    </row>
    <row customHeight="1" ht="11.25">
      <c r="A267" s="1850" t="s">
        <v>2246</v>
      </c>
      <c r="B267" s="1850" t="s">
        <v>16</v>
      </c>
      <c r="C267" s="1850" t="s">
        <v>2507</v>
      </c>
      <c r="D267" s="1850" t="s">
        <v>2508</v>
      </c>
      <c r="E267" s="1850" t="s">
        <v>2509</v>
      </c>
      <c r="F267" s="1850" t="s">
        <v>2503</v>
      </c>
      <c r="G267" s="1850" t="s">
        <v>22</v>
      </c>
      <c r="H267" s="1850" t="s">
        <v>22</v>
      </c>
      <c r="I267" s="1850" t="s">
        <v>896</v>
      </c>
    </row>
    <row customHeight="1" ht="11.25">
      <c r="A268" s="1850" t="s">
        <v>2246</v>
      </c>
      <c r="B268" s="1850" t="s">
        <v>16</v>
      </c>
      <c r="C268" s="1850" t="s">
        <v>2514</v>
      </c>
      <c r="D268" s="1850" t="s">
        <v>2515</v>
      </c>
      <c r="E268" s="1850" t="s">
        <v>2516</v>
      </c>
      <c r="F268" s="1850" t="s">
        <v>2313</v>
      </c>
      <c r="G268" s="1850" t="s">
        <v>2517</v>
      </c>
      <c r="H268" s="1850" t="s">
        <v>22</v>
      </c>
      <c r="I268" s="1850" t="s">
        <v>896</v>
      </c>
    </row>
    <row customHeight="1" ht="11.25">
      <c r="A269" s="1850" t="s">
        <v>2246</v>
      </c>
      <c r="B269" s="1850" t="s">
        <v>16</v>
      </c>
      <c r="C269" s="1850" t="s">
        <v>2543</v>
      </c>
      <c r="D269" s="1850" t="s">
        <v>2544</v>
      </c>
      <c r="E269" s="1850" t="s">
        <v>2545</v>
      </c>
      <c r="F269" s="1850" t="s">
        <v>2306</v>
      </c>
      <c r="G269" s="1850" t="s">
        <v>2546</v>
      </c>
      <c r="H269" s="1850" t="s">
        <v>22</v>
      </c>
      <c r="I269" s="1850" t="s">
        <v>896</v>
      </c>
    </row>
    <row customHeight="1" ht="11.25">
      <c r="A270" s="1850" t="s">
        <v>2246</v>
      </c>
      <c r="B270" s="1850" t="s">
        <v>16</v>
      </c>
      <c r="C270" s="1850" t="s">
        <v>2554</v>
      </c>
      <c r="D270" s="1850" t="s">
        <v>2555</v>
      </c>
      <c r="E270" s="1850" t="s">
        <v>2556</v>
      </c>
      <c r="F270" s="1850" t="s">
        <v>2557</v>
      </c>
      <c r="G270" s="1850" t="s">
        <v>2558</v>
      </c>
      <c r="H270" s="1850" t="s">
        <v>22</v>
      </c>
      <c r="I270" s="1850" t="s">
        <v>896</v>
      </c>
    </row>
    <row customHeight="1" ht="11.25">
      <c r="A271" s="1850" t="s">
        <v>2246</v>
      </c>
      <c r="B271" s="1850" t="s">
        <v>16</v>
      </c>
      <c r="C271" s="1850" t="s">
        <v>2563</v>
      </c>
      <c r="D271" s="1850" t="s">
        <v>2564</v>
      </c>
      <c r="E271" s="1850" t="s">
        <v>2565</v>
      </c>
      <c r="F271" s="1850" t="s">
        <v>2562</v>
      </c>
      <c r="G271" s="1850" t="s">
        <v>2566</v>
      </c>
      <c r="H271" s="1850" t="s">
        <v>22</v>
      </c>
      <c r="I271" s="1850" t="s">
        <v>896</v>
      </c>
    </row>
    <row customHeight="1" ht="11.25">
      <c r="A272" s="1850" t="s">
        <v>2246</v>
      </c>
      <c r="B272" s="1850" t="s">
        <v>16</v>
      </c>
      <c r="C272" s="1850" t="s">
        <v>2570</v>
      </c>
      <c r="D272" s="1850" t="s">
        <v>2571</v>
      </c>
      <c r="E272" s="1850" t="s">
        <v>2572</v>
      </c>
      <c r="F272" s="1850" t="s">
        <v>2503</v>
      </c>
      <c r="G272" s="1850" t="s">
        <v>2573</v>
      </c>
      <c r="H272" s="1850" t="s">
        <v>2574</v>
      </c>
      <c r="I272" s="1850" t="s">
        <v>896</v>
      </c>
    </row>
    <row customHeight="1" ht="11.25">
      <c r="A273" s="1850" t="s">
        <v>2246</v>
      </c>
      <c r="B273" s="1850" t="s">
        <v>16</v>
      </c>
      <c r="C273" s="1850" t="s">
        <v>2583</v>
      </c>
      <c r="D273" s="1850" t="s">
        <v>2584</v>
      </c>
      <c r="E273" s="1850" t="s">
        <v>2585</v>
      </c>
      <c r="F273" s="1850" t="s">
        <v>2298</v>
      </c>
      <c r="G273" s="1850" t="s">
        <v>22</v>
      </c>
      <c r="H273" s="1850" t="s">
        <v>22</v>
      </c>
      <c r="I273" s="1850" t="s">
        <v>896</v>
      </c>
    </row>
    <row customHeight="1" ht="11.25">
      <c r="A274" s="1850" t="s">
        <v>2246</v>
      </c>
      <c r="B274" s="1850" t="s">
        <v>16</v>
      </c>
      <c r="C274" s="1850" t="s">
        <v>2586</v>
      </c>
      <c r="D274" s="1850" t="s">
        <v>2587</v>
      </c>
      <c r="E274" s="1850" t="s">
        <v>2588</v>
      </c>
      <c r="F274" s="1850" t="s">
        <v>2298</v>
      </c>
      <c r="G274" s="1850" t="s">
        <v>2589</v>
      </c>
      <c r="H274" s="1850" t="s">
        <v>22</v>
      </c>
      <c r="I274" s="1850" t="s">
        <v>896</v>
      </c>
    </row>
    <row customHeight="1" ht="11.25">
      <c r="A275" s="1850" t="s">
        <v>2246</v>
      </c>
      <c r="B275" s="1850" t="s">
        <v>16</v>
      </c>
      <c r="C275" s="1850" t="s">
        <v>2598</v>
      </c>
      <c r="D275" s="1850" t="s">
        <v>2599</v>
      </c>
      <c r="E275" s="1850" t="s">
        <v>2600</v>
      </c>
      <c r="F275" s="1850" t="s">
        <v>2298</v>
      </c>
      <c r="G275" s="1850" t="s">
        <v>22</v>
      </c>
      <c r="H275" s="1850" t="s">
        <v>22</v>
      </c>
      <c r="I275" s="1850" t="s">
        <v>896</v>
      </c>
    </row>
    <row customHeight="1" ht="11.25">
      <c r="A276" s="1850" t="s">
        <v>2246</v>
      </c>
      <c r="B276" s="1850" t="s">
        <v>16</v>
      </c>
      <c r="C276" s="1850" t="s">
        <v>2601</v>
      </c>
      <c r="D276" s="1850" t="s">
        <v>2602</v>
      </c>
      <c r="E276" s="1850" t="s">
        <v>2603</v>
      </c>
      <c r="F276" s="1850" t="s">
        <v>2492</v>
      </c>
      <c r="G276" s="1850" t="s">
        <v>22</v>
      </c>
      <c r="H276" s="1850" t="s">
        <v>22</v>
      </c>
      <c r="I276" s="1850" t="s">
        <v>896</v>
      </c>
    </row>
    <row customHeight="1" ht="11.25">
      <c r="A277" s="1850" t="s">
        <v>2246</v>
      </c>
      <c r="B277" s="1850" t="s">
        <v>16</v>
      </c>
      <c r="C277" s="1850" t="s">
        <v>2604</v>
      </c>
      <c r="D277" s="1850" t="s">
        <v>2602</v>
      </c>
      <c r="E277" s="1850" t="s">
        <v>2603</v>
      </c>
      <c r="F277" s="1850" t="s">
        <v>2548</v>
      </c>
      <c r="G277" s="1850" t="s">
        <v>22</v>
      </c>
      <c r="H277" s="1850" t="s">
        <v>22</v>
      </c>
      <c r="I277" s="1850" t="s">
        <v>896</v>
      </c>
    </row>
    <row customHeight="1" ht="11.25">
      <c r="A278" s="1850" t="s">
        <v>2246</v>
      </c>
      <c r="B278" s="1850" t="s">
        <v>16</v>
      </c>
      <c r="C278" s="1850" t="s">
        <v>2636</v>
      </c>
      <c r="D278" s="1850" t="s">
        <v>2637</v>
      </c>
      <c r="E278" s="1850" t="s">
        <v>2638</v>
      </c>
      <c r="F278" s="1850" t="s">
        <v>2306</v>
      </c>
      <c r="G278" s="1850" t="s">
        <v>22</v>
      </c>
      <c r="H278" s="1850" t="s">
        <v>22</v>
      </c>
      <c r="I278" s="1850" t="s">
        <v>896</v>
      </c>
    </row>
    <row customHeight="1" ht="11.25">
      <c r="A279" s="1850" t="s">
        <v>2246</v>
      </c>
      <c r="B279" s="1850" t="s">
        <v>16</v>
      </c>
      <c r="C279" s="1850" t="s">
        <v>2643</v>
      </c>
      <c r="D279" s="1850" t="s">
        <v>2644</v>
      </c>
      <c r="E279" s="1850" t="s">
        <v>2645</v>
      </c>
      <c r="F279" s="1850" t="s">
        <v>2298</v>
      </c>
      <c r="G279" s="1850" t="s">
        <v>22</v>
      </c>
      <c r="H279" s="1850" t="s">
        <v>22</v>
      </c>
      <c r="I279" s="1850" t="s">
        <v>896</v>
      </c>
    </row>
    <row customHeight="1" ht="11.25">
      <c r="A280" s="1850" t="s">
        <v>2246</v>
      </c>
      <c r="B280" s="1850" t="s">
        <v>16</v>
      </c>
      <c r="C280" s="1850" t="s">
        <v>2646</v>
      </c>
      <c r="D280" s="1850" t="s">
        <v>2647</v>
      </c>
      <c r="E280" s="1850" t="s">
        <v>2648</v>
      </c>
      <c r="F280" s="1850" t="s">
        <v>2306</v>
      </c>
      <c r="G280" s="1850" t="s">
        <v>22</v>
      </c>
      <c r="H280" s="1850" t="s">
        <v>22</v>
      </c>
      <c r="I280" s="1850" t="s">
        <v>896</v>
      </c>
    </row>
    <row customHeight="1" ht="11.25">
      <c r="A281" s="1850" t="s">
        <v>2246</v>
      </c>
      <c r="B281" s="1850" t="s">
        <v>16</v>
      </c>
      <c r="C281" s="1850" t="s">
        <v>2662</v>
      </c>
      <c r="D281" s="1850" t="s">
        <v>2663</v>
      </c>
      <c r="E281" s="1850" t="s">
        <v>2664</v>
      </c>
      <c r="F281" s="1850" t="s">
        <v>2254</v>
      </c>
      <c r="G281" s="1850" t="s">
        <v>22</v>
      </c>
      <c r="H281" s="1850" t="s">
        <v>22</v>
      </c>
      <c r="I281" s="1850" t="s">
        <v>896</v>
      </c>
    </row>
    <row customHeight="1" ht="11.25">
      <c r="A282" s="1850" t="s">
        <v>2246</v>
      </c>
      <c r="B282" s="1850" t="s">
        <v>16</v>
      </c>
      <c r="C282" s="1850" t="s">
        <v>2686</v>
      </c>
      <c r="D282" s="1850" t="s">
        <v>2687</v>
      </c>
      <c r="E282" s="1850" t="s">
        <v>2688</v>
      </c>
      <c r="F282" s="1850" t="s">
        <v>2306</v>
      </c>
      <c r="G282" s="1850" t="s">
        <v>22</v>
      </c>
      <c r="H282" s="1850" t="s">
        <v>22</v>
      </c>
      <c r="I282" s="1850" t="s">
        <v>896</v>
      </c>
    </row>
    <row customHeight="1" ht="11.25">
      <c r="A283" s="1850" t="s">
        <v>2246</v>
      </c>
      <c r="B283" s="1850" t="s">
        <v>16</v>
      </c>
      <c r="C283" s="1850" t="s">
        <v>2709</v>
      </c>
      <c r="D283" s="1850" t="s">
        <v>2710</v>
      </c>
      <c r="E283" s="1850" t="s">
        <v>2711</v>
      </c>
      <c r="F283" s="1850" t="s">
        <v>2313</v>
      </c>
      <c r="G283" s="1850" t="s">
        <v>22</v>
      </c>
      <c r="H283" s="1850" t="s">
        <v>22</v>
      </c>
      <c r="I283" s="1850" t="s">
        <v>896</v>
      </c>
    </row>
    <row customHeight="1" ht="11.25">
      <c r="A284" s="1850" t="s">
        <v>2246</v>
      </c>
      <c r="B284" s="1850" t="s">
        <v>16</v>
      </c>
      <c r="C284" s="1850" t="s">
        <v>2718</v>
      </c>
      <c r="D284" s="1850" t="s">
        <v>2719</v>
      </c>
      <c r="E284" s="1850" t="s">
        <v>2720</v>
      </c>
      <c r="F284" s="1850" t="s">
        <v>2250</v>
      </c>
      <c r="G284" s="1850" t="s">
        <v>22</v>
      </c>
      <c r="H284" s="1850" t="s">
        <v>22</v>
      </c>
      <c r="I284" s="1850" t="s">
        <v>896</v>
      </c>
    </row>
    <row customHeight="1" ht="11.25">
      <c r="A285" s="1850" t="s">
        <v>2246</v>
      </c>
      <c r="B285" s="1850" t="s">
        <v>16</v>
      </c>
      <c r="C285" s="1850" t="s">
        <v>2724</v>
      </c>
      <c r="D285" s="1850" t="s">
        <v>2725</v>
      </c>
      <c r="E285" s="1850" t="s">
        <v>2726</v>
      </c>
      <c r="F285" s="1850" t="s">
        <v>2250</v>
      </c>
      <c r="G285" s="1850" t="s">
        <v>22</v>
      </c>
      <c r="H285" s="1850" t="s">
        <v>22</v>
      </c>
      <c r="I285" s="1850" t="s">
        <v>896</v>
      </c>
    </row>
    <row customHeight="1" ht="11.25">
      <c r="A286" s="1850" t="s">
        <v>2246</v>
      </c>
      <c r="B286" s="1850" t="s">
        <v>16</v>
      </c>
      <c r="C286" s="1850" t="s">
        <v>2754</v>
      </c>
      <c r="D286" s="1850" t="s">
        <v>2755</v>
      </c>
      <c r="E286" s="1850" t="s">
        <v>2756</v>
      </c>
      <c r="F286" s="1850" t="s">
        <v>2365</v>
      </c>
      <c r="G286" s="1850" t="s">
        <v>22</v>
      </c>
      <c r="H286" s="1850" t="s">
        <v>22</v>
      </c>
      <c r="I286" s="1850" t="s">
        <v>896</v>
      </c>
    </row>
    <row customHeight="1" ht="11.25">
      <c r="A287" s="1850" t="s">
        <v>2246</v>
      </c>
      <c r="B287" s="1850" t="s">
        <v>16</v>
      </c>
      <c r="C287" s="1850" t="s">
        <v>2767</v>
      </c>
      <c r="D287" s="1850" t="s">
        <v>2768</v>
      </c>
      <c r="E287" s="1850" t="s">
        <v>2769</v>
      </c>
      <c r="F287" s="1850" t="s">
        <v>2770</v>
      </c>
      <c r="G287" s="1850" t="s">
        <v>2771</v>
      </c>
      <c r="H287" s="1850" t="s">
        <v>22</v>
      </c>
      <c r="I287" s="1850" t="s">
        <v>896</v>
      </c>
    </row>
    <row customHeight="1" ht="11.25">
      <c r="A288" s="1850" t="s">
        <v>2246</v>
      </c>
      <c r="B288" s="1850" t="s">
        <v>16</v>
      </c>
      <c r="C288" s="1850" t="s">
        <v>3076</v>
      </c>
      <c r="D288" s="1850" t="s">
        <v>3077</v>
      </c>
      <c r="E288" s="1850" t="s">
        <v>3078</v>
      </c>
      <c r="F288" s="1850" t="s">
        <v>2529</v>
      </c>
      <c r="G288" s="1850" t="s">
        <v>3079</v>
      </c>
      <c r="H288" s="1850" t="s">
        <v>22</v>
      </c>
      <c r="I288" s="1850" t="s">
        <v>896</v>
      </c>
    </row>
    <row customHeight="1" ht="11.25">
      <c r="A289" s="1850" t="s">
        <v>2246</v>
      </c>
      <c r="B289" s="1850" t="s">
        <v>16</v>
      </c>
      <c r="C289" s="1850" t="s">
        <v>2800</v>
      </c>
      <c r="D289" s="1850" t="s">
        <v>2801</v>
      </c>
      <c r="E289" s="1850" t="s">
        <v>2802</v>
      </c>
      <c r="F289" s="1850" t="s">
        <v>2492</v>
      </c>
      <c r="G289" s="1850" t="s">
        <v>22</v>
      </c>
      <c r="H289" s="1850" t="s">
        <v>22</v>
      </c>
      <c r="I289" s="1850" t="s">
        <v>896</v>
      </c>
    </row>
    <row customHeight="1" ht="11.25">
      <c r="A290" s="1850" t="s">
        <v>2246</v>
      </c>
      <c r="B290" s="1850" t="s">
        <v>16</v>
      </c>
      <c r="C290" s="1850" t="s">
        <v>2803</v>
      </c>
      <c r="D290" s="1850" t="s">
        <v>2804</v>
      </c>
      <c r="E290" s="1850" t="s">
        <v>2805</v>
      </c>
      <c r="F290" s="1850" t="s">
        <v>2503</v>
      </c>
      <c r="G290" s="1850" t="s">
        <v>22</v>
      </c>
      <c r="H290" s="1850" t="s">
        <v>22</v>
      </c>
      <c r="I290" s="1850" t="s">
        <v>896</v>
      </c>
    </row>
    <row customHeight="1" ht="11.25">
      <c r="A291" s="1850" t="s">
        <v>2246</v>
      </c>
      <c r="B291" s="1850" t="s">
        <v>16</v>
      </c>
      <c r="C291" s="1850" t="s">
        <v>2859</v>
      </c>
      <c r="D291" s="1850" t="s">
        <v>2860</v>
      </c>
      <c r="E291" s="1850" t="s">
        <v>2861</v>
      </c>
      <c r="F291" s="1850" t="s">
        <v>2306</v>
      </c>
      <c r="G291" s="1850" t="s">
        <v>2862</v>
      </c>
      <c r="H291" s="1850" t="s">
        <v>22</v>
      </c>
      <c r="I291" s="1850" t="s">
        <v>896</v>
      </c>
    </row>
    <row customHeight="1" ht="11.25">
      <c r="A292" s="1850" t="s">
        <v>2246</v>
      </c>
      <c r="B292" s="1850" t="s">
        <v>16</v>
      </c>
      <c r="C292" s="1850" t="s">
        <v>2873</v>
      </c>
      <c r="D292" s="1850" t="s">
        <v>2874</v>
      </c>
      <c r="E292" s="1850" t="s">
        <v>2875</v>
      </c>
      <c r="F292" s="1850" t="s">
        <v>2250</v>
      </c>
      <c r="G292" s="1850" t="s">
        <v>22</v>
      </c>
      <c r="H292" s="1850" t="s">
        <v>22</v>
      </c>
      <c r="I292" s="1850" t="s">
        <v>896</v>
      </c>
    </row>
    <row customHeight="1" ht="11.25">
      <c r="A293" s="1850" t="s">
        <v>2246</v>
      </c>
      <c r="B293" s="1850" t="s">
        <v>16</v>
      </c>
      <c r="C293" s="1850" t="s">
        <v>2882</v>
      </c>
      <c r="D293" s="1850" t="s">
        <v>2880</v>
      </c>
      <c r="E293" s="1850" t="s">
        <v>2883</v>
      </c>
      <c r="F293" s="1850" t="s">
        <v>2492</v>
      </c>
      <c r="G293" s="1850" t="s">
        <v>2884</v>
      </c>
      <c r="H293" s="1850" t="s">
        <v>22</v>
      </c>
      <c r="I293" s="1850" t="s">
        <v>896</v>
      </c>
    </row>
    <row customHeight="1" ht="11.25">
      <c r="A294" s="1850" t="s">
        <v>2246</v>
      </c>
      <c r="B294" s="1850" t="s">
        <v>16</v>
      </c>
      <c r="C294" s="1850" t="s">
        <v>2885</v>
      </c>
      <c r="D294" s="1850" t="s">
        <v>2886</v>
      </c>
      <c r="E294" s="1850" t="s">
        <v>2887</v>
      </c>
      <c r="F294" s="1850" t="s">
        <v>2562</v>
      </c>
      <c r="G294" s="1850" t="s">
        <v>22</v>
      </c>
      <c r="H294" s="1850" t="s">
        <v>22</v>
      </c>
      <c r="I294" s="1850" t="s">
        <v>896</v>
      </c>
    </row>
    <row customHeight="1" ht="11.25">
      <c r="A295" s="1850" t="s">
        <v>2246</v>
      </c>
      <c r="B295" s="1850" t="s">
        <v>16</v>
      </c>
      <c r="C295" s="1850" t="s">
        <v>2891</v>
      </c>
      <c r="D295" s="1850" t="s">
        <v>2892</v>
      </c>
      <c r="E295" s="1850" t="s">
        <v>2893</v>
      </c>
      <c r="F295" s="1850" t="s">
        <v>2353</v>
      </c>
      <c r="G295" s="1850" t="s">
        <v>22</v>
      </c>
      <c r="H295" s="1850" t="s">
        <v>22</v>
      </c>
      <c r="I295" s="1850" t="s">
        <v>896</v>
      </c>
    </row>
    <row customHeight="1" ht="11.25">
      <c r="A296" s="1850" t="s">
        <v>2246</v>
      </c>
      <c r="B296" s="1850" t="s">
        <v>16</v>
      </c>
      <c r="C296" s="1850" t="s">
        <v>2897</v>
      </c>
      <c r="D296" s="1850" t="s">
        <v>2898</v>
      </c>
      <c r="E296" s="1850" t="s">
        <v>2899</v>
      </c>
      <c r="F296" s="1850" t="s">
        <v>2552</v>
      </c>
      <c r="G296" s="1850" t="s">
        <v>22</v>
      </c>
      <c r="H296" s="1850" t="s">
        <v>22</v>
      </c>
      <c r="I296" s="1850" t="s">
        <v>896</v>
      </c>
    </row>
    <row customHeight="1" ht="11.25">
      <c r="A297" s="1850" t="s">
        <v>2246</v>
      </c>
      <c r="B297" s="1850" t="s">
        <v>16</v>
      </c>
      <c r="C297" s="1850" t="s">
        <v>2900</v>
      </c>
      <c r="D297" s="1850" t="s">
        <v>2901</v>
      </c>
      <c r="E297" s="1850" t="s">
        <v>2902</v>
      </c>
      <c r="F297" s="1850" t="s">
        <v>2353</v>
      </c>
      <c r="G297" s="1850" t="s">
        <v>22</v>
      </c>
      <c r="H297" s="1850" t="s">
        <v>22</v>
      </c>
      <c r="I297" s="1850" t="s">
        <v>896</v>
      </c>
    </row>
    <row customHeight="1" ht="11.25">
      <c r="A298" s="1850" t="s">
        <v>2246</v>
      </c>
      <c r="B298" s="1850" t="s">
        <v>16</v>
      </c>
      <c r="C298" s="1850" t="s">
        <v>2925</v>
      </c>
      <c r="D298" s="1850" t="s">
        <v>2926</v>
      </c>
      <c r="E298" s="1850" t="s">
        <v>2927</v>
      </c>
      <c r="F298" s="1850" t="s">
        <v>2672</v>
      </c>
      <c r="G298" s="1850" t="s">
        <v>2928</v>
      </c>
      <c r="H298" s="1850" t="s">
        <v>22</v>
      </c>
      <c r="I298" s="1850" t="s">
        <v>896</v>
      </c>
    </row>
    <row customHeight="1" ht="11.25">
      <c r="A299" s="1850" t="s">
        <v>2246</v>
      </c>
      <c r="B299" s="1850" t="s">
        <v>16</v>
      </c>
      <c r="C299" s="1850" t="s">
        <v>2946</v>
      </c>
      <c r="D299" s="1850" t="s">
        <v>2947</v>
      </c>
      <c r="E299" s="1850" t="s">
        <v>2948</v>
      </c>
      <c r="F299" s="1850" t="s">
        <v>2492</v>
      </c>
      <c r="G299" s="1850" t="s">
        <v>2949</v>
      </c>
      <c r="H299" s="1850" t="s">
        <v>22</v>
      </c>
      <c r="I299" s="1850" t="s">
        <v>896</v>
      </c>
    </row>
    <row customHeight="1" ht="11.25">
      <c r="A300" s="1850" t="s">
        <v>2246</v>
      </c>
      <c r="B300" s="1850" t="s">
        <v>16</v>
      </c>
      <c r="C300" s="1850" t="s">
        <v>2950</v>
      </c>
      <c r="D300" s="1850" t="s">
        <v>2951</v>
      </c>
      <c r="E300" s="1850" t="s">
        <v>2952</v>
      </c>
      <c r="F300" s="1850" t="s">
        <v>2353</v>
      </c>
      <c r="G300" s="1850" t="s">
        <v>22</v>
      </c>
      <c r="H300" s="1850" t="s">
        <v>22</v>
      </c>
      <c r="I300" s="1850" t="s">
        <v>896</v>
      </c>
    </row>
    <row customHeight="1" ht="11.25">
      <c r="A301" s="1850" t="s">
        <v>2246</v>
      </c>
      <c r="B301" s="1850" t="s">
        <v>16</v>
      </c>
      <c r="C301" s="1850" t="s">
        <v>2957</v>
      </c>
      <c r="D301" s="1850" t="s">
        <v>2958</v>
      </c>
      <c r="E301" s="1850" t="s">
        <v>2959</v>
      </c>
      <c r="F301" s="1850" t="s">
        <v>2345</v>
      </c>
      <c r="G301" s="1850" t="s">
        <v>22</v>
      </c>
      <c r="H301" s="1850" t="s">
        <v>22</v>
      </c>
      <c r="I301" s="1850" t="s">
        <v>896</v>
      </c>
    </row>
    <row customHeight="1" ht="11.25">
      <c r="A302" s="1850" t="s">
        <v>2246</v>
      </c>
      <c r="B302" s="1850" t="s">
        <v>16</v>
      </c>
      <c r="C302" s="1850" t="s">
        <v>3080</v>
      </c>
      <c r="D302" s="1850" t="s">
        <v>3081</v>
      </c>
      <c r="E302" s="1850" t="s">
        <v>3082</v>
      </c>
      <c r="F302" s="1850" t="s">
        <v>3083</v>
      </c>
      <c r="G302" s="1850" t="s">
        <v>22</v>
      </c>
      <c r="H302" s="1850" t="s">
        <v>22</v>
      </c>
      <c r="I302" s="1850" t="s">
        <v>896</v>
      </c>
    </row>
    <row customHeight="1" ht="11.25">
      <c r="A303" s="1850" t="s">
        <v>2246</v>
      </c>
      <c r="B303" s="1850" t="s">
        <v>16</v>
      </c>
      <c r="C303" s="1850" t="s">
        <v>2998</v>
      </c>
      <c r="D303" s="1850" t="s">
        <v>2999</v>
      </c>
      <c r="E303" s="1850" t="s">
        <v>3000</v>
      </c>
      <c r="F303" s="1850" t="s">
        <v>2557</v>
      </c>
      <c r="G303" s="1850" t="s">
        <v>2578</v>
      </c>
      <c r="H303" s="1850" t="s">
        <v>22</v>
      </c>
      <c r="I303" s="1850" t="s">
        <v>896</v>
      </c>
    </row>
    <row customHeight="1" ht="11.25">
      <c r="A304" s="1850" t="s">
        <v>2246</v>
      </c>
      <c r="B304" s="1850" t="s">
        <v>16</v>
      </c>
      <c r="C304" s="1850" t="s">
        <v>3001</v>
      </c>
      <c r="D304" s="1850" t="s">
        <v>3002</v>
      </c>
      <c r="E304" s="1850" t="s">
        <v>3003</v>
      </c>
      <c r="F304" s="1850" t="s">
        <v>2306</v>
      </c>
      <c r="G304" s="1850" t="s">
        <v>22</v>
      </c>
      <c r="H304" s="1850" t="s">
        <v>22</v>
      </c>
      <c r="I304" s="1850" t="s">
        <v>896</v>
      </c>
    </row>
    <row customHeight="1" ht="11.25">
      <c r="A305" s="1850" t="s">
        <v>2246</v>
      </c>
      <c r="B305" s="1850" t="s">
        <v>16</v>
      </c>
      <c r="C305" s="1850" t="s">
        <v>3004</v>
      </c>
      <c r="D305" s="1850" t="s">
        <v>3005</v>
      </c>
      <c r="E305" s="1850" t="s">
        <v>3006</v>
      </c>
      <c r="F305" s="1850" t="s">
        <v>2557</v>
      </c>
      <c r="G305" s="1850" t="s">
        <v>2578</v>
      </c>
      <c r="H305" s="1850" t="s">
        <v>22</v>
      </c>
      <c r="I305" s="1850" t="s">
        <v>896</v>
      </c>
    </row>
    <row customHeight="1" ht="11.25">
      <c r="A306" s="1850" t="s">
        <v>2246</v>
      </c>
      <c r="B306" s="1850" t="s">
        <v>16</v>
      </c>
      <c r="C306" s="1850" t="s">
        <v>3013</v>
      </c>
      <c r="D306" s="1850" t="s">
        <v>3014</v>
      </c>
      <c r="E306" s="1850" t="s">
        <v>3015</v>
      </c>
      <c r="F306" s="1850" t="s">
        <v>2254</v>
      </c>
      <c r="G306" s="1850" t="s">
        <v>22</v>
      </c>
      <c r="H306" s="1850" t="s">
        <v>22</v>
      </c>
      <c r="I306" s="1850" t="s">
        <v>896</v>
      </c>
    </row>
    <row customHeight="1" ht="11.25">
      <c r="A307" s="1850" t="s">
        <v>2246</v>
      </c>
      <c r="B307" s="1850" t="s">
        <v>16</v>
      </c>
      <c r="C307" s="1850" t="s">
        <v>3031</v>
      </c>
      <c r="D307" s="1850" t="s">
        <v>3032</v>
      </c>
      <c r="E307" s="1850" t="s">
        <v>3033</v>
      </c>
      <c r="F307" s="1850" t="s">
        <v>2298</v>
      </c>
      <c r="G307" s="1850" t="s">
        <v>22</v>
      </c>
      <c r="H307" s="1850" t="s">
        <v>22</v>
      </c>
      <c r="I307" s="1850" t="s">
        <v>896</v>
      </c>
    </row>
    <row customHeight="1" ht="11.25">
      <c r="A308" s="1850" t="s">
        <v>2246</v>
      </c>
      <c r="B308" s="1850" t="s">
        <v>16</v>
      </c>
      <c r="C308" s="1850" t="s">
        <v>3037</v>
      </c>
      <c r="D308" s="1850" t="s">
        <v>3038</v>
      </c>
      <c r="E308" s="1850" t="s">
        <v>2386</v>
      </c>
      <c r="F308" s="1850" t="s">
        <v>3039</v>
      </c>
      <c r="G308" s="1850" t="s">
        <v>22</v>
      </c>
      <c r="H308" s="1850" t="s">
        <v>22</v>
      </c>
      <c r="I308" s="1850" t="s">
        <v>896</v>
      </c>
    </row>
    <row customHeight="1" ht="11.25">
      <c r="A309" s="1850" t="s">
        <v>2246</v>
      </c>
      <c r="B309" s="1850" t="s">
        <v>16</v>
      </c>
      <c r="C309" s="1850" t="s">
        <v>3040</v>
      </c>
      <c r="D309" s="1850" t="s">
        <v>3041</v>
      </c>
      <c r="E309" s="1850" t="s">
        <v>3042</v>
      </c>
      <c r="F309" s="1850" t="s">
        <v>3043</v>
      </c>
      <c r="G309" s="1850" t="s">
        <v>3044</v>
      </c>
      <c r="H309" s="1850" t="s">
        <v>22</v>
      </c>
      <c r="I309" s="1850" t="s">
        <v>896</v>
      </c>
    </row>
    <row customHeight="1" ht="11.25">
      <c r="A310" s="1850" t="s">
        <v>2246</v>
      </c>
      <c r="B310" s="1850" t="s">
        <v>16</v>
      </c>
      <c r="C310" s="1850" t="s">
        <v>3050</v>
      </c>
      <c r="D310" s="1850" t="s">
        <v>3051</v>
      </c>
      <c r="E310" s="1850" t="s">
        <v>3052</v>
      </c>
      <c r="F310" s="1850" t="s">
        <v>3053</v>
      </c>
      <c r="G310" s="1850" t="s">
        <v>22</v>
      </c>
      <c r="H310" s="1850" t="s">
        <v>22</v>
      </c>
      <c r="I310" s="1850" t="s">
        <v>896</v>
      </c>
    </row>
    <row customHeight="1" ht="11.25">
      <c r="A311" s="1850" t="s">
        <v>2246</v>
      </c>
      <c r="B311" s="1850" t="s">
        <v>16</v>
      </c>
      <c r="C311" s="1850" t="s">
        <v>2255</v>
      </c>
      <c r="D311" s="1850" t="s">
        <v>2256</v>
      </c>
      <c r="E311" s="1850" t="s">
        <v>2257</v>
      </c>
      <c r="F311" s="1850" t="s">
        <v>2254</v>
      </c>
      <c r="G311" s="1850" t="s">
        <v>22</v>
      </c>
      <c r="H311" s="1850" t="s">
        <v>22</v>
      </c>
      <c r="I311" s="1850" t="s">
        <v>856</v>
      </c>
    </row>
    <row customHeight="1" ht="11.25">
      <c r="A312" s="1850" t="s">
        <v>2246</v>
      </c>
      <c r="B312" s="1850" t="s">
        <v>16</v>
      </c>
      <c r="C312" s="1850" t="s">
        <v>2258</v>
      </c>
      <c r="D312" s="1850" t="s">
        <v>2259</v>
      </c>
      <c r="E312" s="1850" t="s">
        <v>2260</v>
      </c>
      <c r="F312" s="1850" t="s">
        <v>2261</v>
      </c>
      <c r="G312" s="1850" t="s">
        <v>2262</v>
      </c>
      <c r="H312" s="1850" t="s">
        <v>22</v>
      </c>
      <c r="I312" s="1850" t="s">
        <v>856</v>
      </c>
    </row>
    <row customHeight="1" ht="11.25">
      <c r="A313" s="1850" t="s">
        <v>2246</v>
      </c>
      <c r="B313" s="1850" t="s">
        <v>16</v>
      </c>
      <c r="C313" s="1850" t="s">
        <v>3084</v>
      </c>
      <c r="D313" s="1850" t="s">
        <v>3085</v>
      </c>
      <c r="E313" s="1850" t="s">
        <v>3086</v>
      </c>
      <c r="F313" s="1850" t="s">
        <v>2548</v>
      </c>
      <c r="G313" s="1850" t="s">
        <v>22</v>
      </c>
      <c r="H313" s="1850" t="s">
        <v>22</v>
      </c>
      <c r="I313" s="1850" t="s">
        <v>856</v>
      </c>
    </row>
    <row customHeight="1" ht="11.25">
      <c r="A314" s="1850" t="s">
        <v>2246</v>
      </c>
      <c r="B314" s="1850" t="s">
        <v>16</v>
      </c>
      <c r="C314" s="1850" t="s">
        <v>2288</v>
      </c>
      <c r="D314" s="1850" t="s">
        <v>2289</v>
      </c>
      <c r="E314" s="1850" t="s">
        <v>2290</v>
      </c>
      <c r="F314" s="1850" t="s">
        <v>2291</v>
      </c>
      <c r="G314" s="1850" t="s">
        <v>22</v>
      </c>
      <c r="H314" s="1850" t="s">
        <v>22</v>
      </c>
      <c r="I314" s="1850" t="s">
        <v>856</v>
      </c>
    </row>
    <row customHeight="1" ht="11.25">
      <c r="A315" s="1850" t="s">
        <v>2246</v>
      </c>
      <c r="B315" s="1850" t="s">
        <v>16</v>
      </c>
      <c r="C315" s="1850" t="s">
        <v>2295</v>
      </c>
      <c r="D315" s="1850" t="s">
        <v>2296</v>
      </c>
      <c r="E315" s="1850" t="s">
        <v>2297</v>
      </c>
      <c r="F315" s="1850" t="s">
        <v>2298</v>
      </c>
      <c r="G315" s="1850" t="s">
        <v>2299</v>
      </c>
      <c r="H315" s="1850" t="s">
        <v>22</v>
      </c>
      <c r="I315" s="1850" t="s">
        <v>856</v>
      </c>
    </row>
    <row customHeight="1" ht="11.25">
      <c r="A316" s="1850" t="s">
        <v>2246</v>
      </c>
      <c r="B316" s="1850" t="s">
        <v>16</v>
      </c>
      <c r="C316" s="1850" t="s">
        <v>2307</v>
      </c>
      <c r="D316" s="1850" t="s">
        <v>2308</v>
      </c>
      <c r="E316" s="1850" t="s">
        <v>2309</v>
      </c>
      <c r="F316" s="1850" t="s">
        <v>2254</v>
      </c>
      <c r="G316" s="1850" t="s">
        <v>22</v>
      </c>
      <c r="H316" s="1850" t="s">
        <v>22</v>
      </c>
      <c r="I316" s="1850" t="s">
        <v>856</v>
      </c>
    </row>
    <row customHeight="1" ht="11.25">
      <c r="A317" s="1850" t="s">
        <v>2246</v>
      </c>
      <c r="B317" s="1850" t="s">
        <v>16</v>
      </c>
      <c r="C317" s="1850" t="s">
        <v>2339</v>
      </c>
      <c r="D317" s="1850" t="s">
        <v>2340</v>
      </c>
      <c r="E317" s="1850" t="s">
        <v>2341</v>
      </c>
      <c r="F317" s="1850" t="s">
        <v>2313</v>
      </c>
      <c r="G317" s="1850" t="s">
        <v>22</v>
      </c>
      <c r="H317" s="1850" t="s">
        <v>22</v>
      </c>
      <c r="I317" s="1850" t="s">
        <v>856</v>
      </c>
    </row>
    <row customHeight="1" ht="11.25">
      <c r="A318" s="1850" t="s">
        <v>2246</v>
      </c>
      <c r="B318" s="1850" t="s">
        <v>16</v>
      </c>
      <c r="C318" s="1850" t="s">
        <v>2346</v>
      </c>
      <c r="D318" s="1850" t="s">
        <v>2347</v>
      </c>
      <c r="E318" s="1850" t="s">
        <v>2348</v>
      </c>
      <c r="F318" s="1850" t="s">
        <v>2349</v>
      </c>
      <c r="G318" s="1850" t="s">
        <v>22</v>
      </c>
      <c r="H318" s="1850" t="s">
        <v>22</v>
      </c>
      <c r="I318" s="1850" t="s">
        <v>856</v>
      </c>
    </row>
    <row customHeight="1" ht="11.25">
      <c r="A319" s="1850" t="s">
        <v>2246</v>
      </c>
      <c r="B319" s="1850" t="s">
        <v>16</v>
      </c>
      <c r="C319" s="1850" t="s">
        <v>3087</v>
      </c>
      <c r="D319" s="1850" t="s">
        <v>3088</v>
      </c>
      <c r="E319" s="1850" t="s">
        <v>3089</v>
      </c>
      <c r="F319" s="1850" t="s">
        <v>2313</v>
      </c>
      <c r="G319" s="1850" t="s">
        <v>22</v>
      </c>
      <c r="H319" s="1850" t="s">
        <v>22</v>
      </c>
      <c r="I319" s="1850" t="s">
        <v>856</v>
      </c>
    </row>
    <row customHeight="1" ht="11.25">
      <c r="A320" s="1850" t="s">
        <v>2246</v>
      </c>
      <c r="B320" s="1850" t="s">
        <v>16</v>
      </c>
      <c r="C320" s="1850" t="s">
        <v>3090</v>
      </c>
      <c r="D320" s="1850" t="s">
        <v>3091</v>
      </c>
      <c r="E320" s="1850" t="s">
        <v>3092</v>
      </c>
      <c r="F320" s="1850" t="s">
        <v>2492</v>
      </c>
      <c r="G320" s="1850" t="s">
        <v>3093</v>
      </c>
      <c r="H320" s="1850" t="s">
        <v>22</v>
      </c>
      <c r="I320" s="1850" t="s">
        <v>856</v>
      </c>
    </row>
    <row customHeight="1" ht="11.25">
      <c r="A321" s="1850" t="s">
        <v>2246</v>
      </c>
      <c r="B321" s="1850" t="s">
        <v>16</v>
      </c>
      <c r="C321" s="1850" t="s">
        <v>2366</v>
      </c>
      <c r="D321" s="1850" t="s">
        <v>2367</v>
      </c>
      <c r="E321" s="1850" t="s">
        <v>2368</v>
      </c>
      <c r="F321" s="1850" t="s">
        <v>2361</v>
      </c>
      <c r="G321" s="1850" t="s">
        <v>2369</v>
      </c>
      <c r="H321" s="1850" t="s">
        <v>22</v>
      </c>
      <c r="I321" s="1850" t="s">
        <v>856</v>
      </c>
    </row>
    <row customHeight="1" ht="11.25">
      <c r="A322" s="1850" t="s">
        <v>2246</v>
      </c>
      <c r="B322" s="1850" t="s">
        <v>16</v>
      </c>
      <c r="C322" s="1850" t="s">
        <v>2396</v>
      </c>
      <c r="D322" s="1850" t="s">
        <v>2397</v>
      </c>
      <c r="E322" s="1850" t="s">
        <v>2386</v>
      </c>
      <c r="F322" s="1850" t="s">
        <v>2398</v>
      </c>
      <c r="G322" s="1850" t="s">
        <v>22</v>
      </c>
      <c r="H322" s="1850" t="s">
        <v>22</v>
      </c>
      <c r="I322" s="1850" t="s">
        <v>856</v>
      </c>
    </row>
    <row customHeight="1" ht="11.25">
      <c r="A323" s="1850" t="s">
        <v>2246</v>
      </c>
      <c r="B323" s="1850" t="s">
        <v>16</v>
      </c>
      <c r="C323" s="1850" t="s">
        <v>3094</v>
      </c>
      <c r="D323" s="1850" t="s">
        <v>3095</v>
      </c>
      <c r="E323" s="1850" t="s">
        <v>3096</v>
      </c>
      <c r="F323" s="1850" t="s">
        <v>2529</v>
      </c>
      <c r="G323" s="1850" t="s">
        <v>22</v>
      </c>
      <c r="H323" s="1850" t="s">
        <v>22</v>
      </c>
      <c r="I323" s="1850" t="s">
        <v>856</v>
      </c>
    </row>
    <row customHeight="1" ht="11.25">
      <c r="A324" s="1850" t="s">
        <v>2246</v>
      </c>
      <c r="B324" s="1850" t="s">
        <v>16</v>
      </c>
      <c r="C324" s="1850" t="s">
        <v>3097</v>
      </c>
      <c r="D324" s="1850" t="s">
        <v>3098</v>
      </c>
      <c r="E324" s="1850" t="s">
        <v>3099</v>
      </c>
      <c r="F324" s="1850" t="s">
        <v>2353</v>
      </c>
      <c r="G324" s="1850" t="s">
        <v>22</v>
      </c>
      <c r="H324" s="1850" t="s">
        <v>22</v>
      </c>
      <c r="I324" s="1850" t="s">
        <v>856</v>
      </c>
    </row>
    <row customHeight="1" ht="11.25">
      <c r="A325" s="1850" t="s">
        <v>2246</v>
      </c>
      <c r="B325" s="1850" t="s">
        <v>16</v>
      </c>
      <c r="C325" s="1850" t="s">
        <v>3100</v>
      </c>
      <c r="D325" s="1850" t="s">
        <v>3101</v>
      </c>
      <c r="E325" s="1850" t="s">
        <v>3102</v>
      </c>
      <c r="F325" s="1850" t="s">
        <v>2548</v>
      </c>
      <c r="G325" s="1850" t="s">
        <v>22</v>
      </c>
      <c r="H325" s="1850" t="s">
        <v>22</v>
      </c>
      <c r="I325" s="1850" t="s">
        <v>856</v>
      </c>
    </row>
    <row customHeight="1" ht="11.25">
      <c r="A326" s="1850" t="s">
        <v>2246</v>
      </c>
      <c r="B326" s="1850" t="s">
        <v>16</v>
      </c>
      <c r="C326" s="1850" t="s">
        <v>3103</v>
      </c>
      <c r="D326" s="1850" t="s">
        <v>3104</v>
      </c>
      <c r="E326" s="1850" t="s">
        <v>3105</v>
      </c>
      <c r="F326" s="1850" t="s">
        <v>2562</v>
      </c>
      <c r="G326" s="1850" t="s">
        <v>22</v>
      </c>
      <c r="H326" s="1850" t="s">
        <v>22</v>
      </c>
      <c r="I326" s="1850" t="s">
        <v>856</v>
      </c>
    </row>
    <row customHeight="1" ht="11.25">
      <c r="A327" s="1850" t="s">
        <v>2246</v>
      </c>
      <c r="B327" s="1850" t="s">
        <v>16</v>
      </c>
      <c r="C327" s="1850" t="s">
        <v>2416</v>
      </c>
      <c r="D327" s="1850" t="s">
        <v>2417</v>
      </c>
      <c r="E327" s="1850" t="s">
        <v>2418</v>
      </c>
      <c r="F327" s="1850" t="s">
        <v>577</v>
      </c>
      <c r="G327" s="1850" t="s">
        <v>2419</v>
      </c>
      <c r="H327" s="1850" t="s">
        <v>22</v>
      </c>
      <c r="I327" s="1850" t="s">
        <v>856</v>
      </c>
    </row>
    <row customHeight="1" ht="11.25">
      <c r="A328" s="1850" t="s">
        <v>2246</v>
      </c>
      <c r="B328" s="1850" t="s">
        <v>16</v>
      </c>
      <c r="C328" s="1850" t="s">
        <v>2423</v>
      </c>
      <c r="D328" s="1850" t="s">
        <v>2424</v>
      </c>
      <c r="E328" s="1850" t="s">
        <v>2425</v>
      </c>
      <c r="F328" s="1850" t="s">
        <v>577</v>
      </c>
      <c r="G328" s="1850" t="s">
        <v>2426</v>
      </c>
      <c r="H328" s="1850" t="s">
        <v>22</v>
      </c>
      <c r="I328" s="1850" t="s">
        <v>856</v>
      </c>
    </row>
    <row customHeight="1" ht="11.25">
      <c r="A329" s="1850" t="s">
        <v>2246</v>
      </c>
      <c r="B329" s="1850" t="s">
        <v>16</v>
      </c>
      <c r="C329" s="1850" t="s">
        <v>3106</v>
      </c>
      <c r="D329" s="1850" t="s">
        <v>3107</v>
      </c>
      <c r="E329" s="1850" t="s">
        <v>3108</v>
      </c>
      <c r="F329" s="1850" t="s">
        <v>577</v>
      </c>
      <c r="G329" s="1850" t="s">
        <v>22</v>
      </c>
      <c r="H329" s="1850" t="s">
        <v>22</v>
      </c>
      <c r="I329" s="1850" t="s">
        <v>856</v>
      </c>
    </row>
    <row customHeight="1" ht="11.25">
      <c r="A330" s="1850" t="s">
        <v>2246</v>
      </c>
      <c r="B330" s="1850" t="s">
        <v>16</v>
      </c>
      <c r="C330" s="1850" t="s">
        <v>3109</v>
      </c>
      <c r="D330" s="1850" t="s">
        <v>3110</v>
      </c>
      <c r="E330" s="1850" t="s">
        <v>3111</v>
      </c>
      <c r="F330" s="1850" t="s">
        <v>2744</v>
      </c>
      <c r="G330" s="1850" t="s">
        <v>22</v>
      </c>
      <c r="H330" s="1850" t="s">
        <v>22</v>
      </c>
      <c r="I330" s="1850" t="s">
        <v>856</v>
      </c>
    </row>
    <row customHeight="1" ht="11.25">
      <c r="A331" s="1850" t="s">
        <v>2246</v>
      </c>
      <c r="B331" s="1850" t="s">
        <v>16</v>
      </c>
      <c r="C331" s="1850" t="s">
        <v>3112</v>
      </c>
      <c r="D331" s="1850" t="s">
        <v>3113</v>
      </c>
      <c r="E331" s="1850" t="s">
        <v>3114</v>
      </c>
      <c r="F331" s="1850" t="s">
        <v>2552</v>
      </c>
      <c r="G331" s="1850" t="s">
        <v>22</v>
      </c>
      <c r="H331" s="1850" t="s">
        <v>22</v>
      </c>
      <c r="I331" s="1850" t="s">
        <v>856</v>
      </c>
    </row>
    <row customHeight="1" ht="11.25">
      <c r="A332" s="1850" t="s">
        <v>2246</v>
      </c>
      <c r="B332" s="1850" t="s">
        <v>16</v>
      </c>
      <c r="C332" s="1850" t="s">
        <v>3115</v>
      </c>
      <c r="D332" s="1850" t="s">
        <v>3116</v>
      </c>
      <c r="E332" s="1850" t="s">
        <v>3117</v>
      </c>
      <c r="F332" s="1850" t="s">
        <v>2321</v>
      </c>
      <c r="G332" s="1850" t="s">
        <v>3118</v>
      </c>
      <c r="H332" s="1850" t="s">
        <v>22</v>
      </c>
      <c r="I332" s="1850" t="s">
        <v>856</v>
      </c>
    </row>
    <row customHeight="1" ht="11.25">
      <c r="A333" s="1850" t="s">
        <v>2246</v>
      </c>
      <c r="B333" s="1850" t="s">
        <v>16</v>
      </c>
      <c r="C333" s="1850" t="s">
        <v>22</v>
      </c>
      <c r="D333" s="1850" t="s">
        <v>2447</v>
      </c>
      <c r="E333" s="1850" t="s">
        <v>2448</v>
      </c>
      <c r="F333" s="1850" t="s">
        <v>2254</v>
      </c>
      <c r="G333" s="1850" t="s">
        <v>22</v>
      </c>
      <c r="H333" s="1850" t="s">
        <v>22</v>
      </c>
      <c r="I333" s="1850" t="s">
        <v>856</v>
      </c>
    </row>
    <row customHeight="1" ht="11.25">
      <c r="A334" s="1850" t="s">
        <v>2246</v>
      </c>
      <c r="B334" s="1850" t="s">
        <v>16</v>
      </c>
      <c r="C334" s="1850" t="s">
        <v>3119</v>
      </c>
      <c r="D334" s="1850" t="s">
        <v>3120</v>
      </c>
      <c r="E334" s="1850" t="s">
        <v>3121</v>
      </c>
      <c r="F334" s="1850" t="s">
        <v>2345</v>
      </c>
      <c r="G334" s="1850" t="s">
        <v>22</v>
      </c>
      <c r="H334" s="1850" t="s">
        <v>22</v>
      </c>
      <c r="I334" s="1850" t="s">
        <v>856</v>
      </c>
    </row>
    <row customHeight="1" ht="11.25">
      <c r="A335" s="1850" t="s">
        <v>2246</v>
      </c>
      <c r="B335" s="1850" t="s">
        <v>16</v>
      </c>
      <c r="C335" s="1850" t="s">
        <v>2449</v>
      </c>
      <c r="D335" s="1850" t="s">
        <v>2450</v>
      </c>
      <c r="E335" s="1850" t="s">
        <v>2451</v>
      </c>
      <c r="F335" s="1850" t="s">
        <v>2452</v>
      </c>
      <c r="G335" s="1850" t="s">
        <v>22</v>
      </c>
      <c r="H335" s="1850" t="s">
        <v>22</v>
      </c>
      <c r="I335" s="1850" t="s">
        <v>856</v>
      </c>
    </row>
    <row customHeight="1" ht="11.25">
      <c r="A336" s="1850" t="s">
        <v>2246</v>
      </c>
      <c r="B336" s="1850" t="s">
        <v>16</v>
      </c>
      <c r="C336" s="1850" t="s">
        <v>2453</v>
      </c>
      <c r="D336" s="1850" t="s">
        <v>2454</v>
      </c>
      <c r="E336" s="1850" t="s">
        <v>2455</v>
      </c>
      <c r="F336" s="1850" t="s">
        <v>2349</v>
      </c>
      <c r="G336" s="1850" t="s">
        <v>2456</v>
      </c>
      <c r="H336" s="1850" t="s">
        <v>22</v>
      </c>
      <c r="I336" s="1850" t="s">
        <v>856</v>
      </c>
    </row>
    <row customHeight="1" ht="11.25">
      <c r="A337" s="1850" t="s">
        <v>2246</v>
      </c>
      <c r="B337" s="1850" t="s">
        <v>16</v>
      </c>
      <c r="C337" s="1850" t="s">
        <v>3122</v>
      </c>
      <c r="D337" s="1850" t="s">
        <v>3123</v>
      </c>
      <c r="E337" s="1850" t="s">
        <v>3124</v>
      </c>
      <c r="F337" s="1850" t="s">
        <v>2672</v>
      </c>
      <c r="G337" s="1850" t="s">
        <v>22</v>
      </c>
      <c r="H337" s="1850" t="s">
        <v>22</v>
      </c>
      <c r="I337" s="1850" t="s">
        <v>856</v>
      </c>
    </row>
    <row customHeight="1" ht="11.25">
      <c r="A338" s="1850" t="s">
        <v>2246</v>
      </c>
      <c r="B338" s="1850" t="s">
        <v>16</v>
      </c>
      <c r="C338" s="1850" t="s">
        <v>3125</v>
      </c>
      <c r="D338" s="1850" t="s">
        <v>3126</v>
      </c>
      <c r="E338" s="1850" t="s">
        <v>3127</v>
      </c>
      <c r="F338" s="1850" t="s">
        <v>2445</v>
      </c>
      <c r="G338" s="1850" t="s">
        <v>22</v>
      </c>
      <c r="H338" s="1850" t="s">
        <v>22</v>
      </c>
      <c r="I338" s="1850" t="s">
        <v>856</v>
      </c>
    </row>
    <row customHeight="1" ht="11.25">
      <c r="A339" s="1850" t="s">
        <v>2246</v>
      </c>
      <c r="B339" s="1850" t="s">
        <v>16</v>
      </c>
      <c r="C339" s="1850" t="s">
        <v>3128</v>
      </c>
      <c r="D339" s="1850" t="s">
        <v>3129</v>
      </c>
      <c r="E339" s="1850" t="s">
        <v>3130</v>
      </c>
      <c r="F339" s="1850" t="s">
        <v>2365</v>
      </c>
      <c r="G339" s="1850" t="s">
        <v>22</v>
      </c>
      <c r="H339" s="1850" t="s">
        <v>22</v>
      </c>
      <c r="I339" s="1850" t="s">
        <v>856</v>
      </c>
    </row>
    <row customHeight="1" ht="11.25">
      <c r="A340" s="1850" t="s">
        <v>2246</v>
      </c>
      <c r="B340" s="1850" t="s">
        <v>16</v>
      </c>
      <c r="C340" s="1850" t="s">
        <v>2463</v>
      </c>
      <c r="D340" s="1850" t="s">
        <v>2464</v>
      </c>
      <c r="E340" s="1850" t="s">
        <v>2465</v>
      </c>
      <c r="F340" s="1850" t="s">
        <v>2321</v>
      </c>
      <c r="G340" s="1850" t="s">
        <v>22</v>
      </c>
      <c r="H340" s="1850" t="s">
        <v>22</v>
      </c>
      <c r="I340" s="1850" t="s">
        <v>856</v>
      </c>
    </row>
    <row customHeight="1" ht="11.25">
      <c r="A341" s="1850" t="s">
        <v>2246</v>
      </c>
      <c r="B341" s="1850" t="s">
        <v>16</v>
      </c>
      <c r="C341" s="1850" t="s">
        <v>2466</v>
      </c>
      <c r="D341" s="1850" t="s">
        <v>2467</v>
      </c>
      <c r="E341" s="1850" t="s">
        <v>2468</v>
      </c>
      <c r="F341" s="1850" t="s">
        <v>2250</v>
      </c>
      <c r="G341" s="1850" t="s">
        <v>2469</v>
      </c>
      <c r="H341" s="1850" t="s">
        <v>22</v>
      </c>
      <c r="I341" s="1850" t="s">
        <v>856</v>
      </c>
    </row>
    <row customHeight="1" ht="11.25">
      <c r="A342" s="1850" t="s">
        <v>2246</v>
      </c>
      <c r="B342" s="1850" t="s">
        <v>16</v>
      </c>
      <c r="C342" s="1850" t="s">
        <v>2470</v>
      </c>
      <c r="D342" s="1850" t="s">
        <v>2471</v>
      </c>
      <c r="E342" s="1850" t="s">
        <v>2472</v>
      </c>
      <c r="F342" s="1850" t="s">
        <v>2473</v>
      </c>
      <c r="G342" s="1850" t="s">
        <v>2474</v>
      </c>
      <c r="H342" s="1850" t="s">
        <v>22</v>
      </c>
      <c r="I342" s="1850" t="s">
        <v>856</v>
      </c>
    </row>
    <row customHeight="1" ht="11.25">
      <c r="A343" s="1850" t="s">
        <v>2246</v>
      </c>
      <c r="B343" s="1850" t="s">
        <v>16</v>
      </c>
      <c r="C343" s="1850" t="s">
        <v>2475</v>
      </c>
      <c r="D343" s="1850" t="s">
        <v>2476</v>
      </c>
      <c r="E343" s="1850" t="s">
        <v>2477</v>
      </c>
      <c r="F343" s="1850" t="s">
        <v>2321</v>
      </c>
      <c r="G343" s="1850" t="s">
        <v>2478</v>
      </c>
      <c r="H343" s="1850" t="s">
        <v>22</v>
      </c>
      <c r="I343" s="1850" t="s">
        <v>856</v>
      </c>
    </row>
    <row customHeight="1" ht="11.25">
      <c r="A344" s="1850" t="s">
        <v>2246</v>
      </c>
      <c r="B344" s="1850" t="s">
        <v>16</v>
      </c>
      <c r="C344" s="1850" t="s">
        <v>2483</v>
      </c>
      <c r="D344" s="1850" t="s">
        <v>2484</v>
      </c>
      <c r="E344" s="1850" t="s">
        <v>2485</v>
      </c>
      <c r="F344" s="1850" t="s">
        <v>2250</v>
      </c>
      <c r="G344" s="1850" t="s">
        <v>22</v>
      </c>
      <c r="H344" s="1850" t="s">
        <v>22</v>
      </c>
      <c r="I344" s="1850" t="s">
        <v>856</v>
      </c>
    </row>
    <row customHeight="1" ht="11.25">
      <c r="A345" s="1850" t="s">
        <v>2246</v>
      </c>
      <c r="B345" s="1850" t="s">
        <v>16</v>
      </c>
      <c r="C345" s="1850" t="s">
        <v>3131</v>
      </c>
      <c r="D345" s="1850" t="s">
        <v>3132</v>
      </c>
      <c r="E345" s="1850" t="s">
        <v>3133</v>
      </c>
      <c r="F345" s="1850" t="s">
        <v>2321</v>
      </c>
      <c r="G345" s="1850" t="s">
        <v>22</v>
      </c>
      <c r="H345" s="1850" t="s">
        <v>22</v>
      </c>
      <c r="I345" s="1850" t="s">
        <v>856</v>
      </c>
    </row>
    <row customHeight="1" ht="11.25">
      <c r="A346" s="1850" t="s">
        <v>2246</v>
      </c>
      <c r="B346" s="1850" t="s">
        <v>16</v>
      </c>
      <c r="C346" s="1850" t="s">
        <v>2489</v>
      </c>
      <c r="D346" s="1850" t="s">
        <v>2490</v>
      </c>
      <c r="E346" s="1850" t="s">
        <v>2491</v>
      </c>
      <c r="F346" s="1850" t="s">
        <v>2492</v>
      </c>
      <c r="G346" s="1850" t="s">
        <v>22</v>
      </c>
      <c r="H346" s="1850" t="s">
        <v>22</v>
      </c>
      <c r="I346" s="1850" t="s">
        <v>856</v>
      </c>
    </row>
    <row customHeight="1" ht="11.25">
      <c r="A347" s="1850" t="s">
        <v>2246</v>
      </c>
      <c r="B347" s="1850" t="s">
        <v>16</v>
      </c>
      <c r="C347" s="1850" t="s">
        <v>2496</v>
      </c>
      <c r="D347" s="1850" t="s">
        <v>2497</v>
      </c>
      <c r="E347" s="1850" t="s">
        <v>2498</v>
      </c>
      <c r="F347" s="1850" t="s">
        <v>2499</v>
      </c>
      <c r="G347" s="1850" t="s">
        <v>22</v>
      </c>
      <c r="H347" s="1850" t="s">
        <v>22</v>
      </c>
      <c r="I347" s="1850" t="s">
        <v>856</v>
      </c>
    </row>
    <row customHeight="1" ht="11.25">
      <c r="A348" s="1850" t="s">
        <v>2246</v>
      </c>
      <c r="B348" s="1850" t="s">
        <v>16</v>
      </c>
      <c r="C348" s="1850" t="s">
        <v>3134</v>
      </c>
      <c r="D348" s="1850" t="s">
        <v>3135</v>
      </c>
      <c r="E348" s="1850" t="s">
        <v>3136</v>
      </c>
      <c r="F348" s="1850" t="s">
        <v>2492</v>
      </c>
      <c r="G348" s="1850" t="s">
        <v>22</v>
      </c>
      <c r="H348" s="1850" t="s">
        <v>22</v>
      </c>
      <c r="I348" s="1850" t="s">
        <v>856</v>
      </c>
    </row>
    <row customHeight="1" ht="11.25">
      <c r="A349" s="1850" t="s">
        <v>2246</v>
      </c>
      <c r="B349" s="1850" t="s">
        <v>16</v>
      </c>
      <c r="C349" s="1850" t="s">
        <v>3137</v>
      </c>
      <c r="D349" s="1850" t="s">
        <v>3138</v>
      </c>
      <c r="E349" s="1850" t="s">
        <v>3139</v>
      </c>
      <c r="F349" s="1850" t="s">
        <v>2542</v>
      </c>
      <c r="G349" s="1850" t="s">
        <v>22</v>
      </c>
      <c r="H349" s="1850" t="s">
        <v>22</v>
      </c>
      <c r="I349" s="1850" t="s">
        <v>856</v>
      </c>
    </row>
    <row customHeight="1" ht="11.25">
      <c r="A350" s="1850" t="s">
        <v>2246</v>
      </c>
      <c r="B350" s="1850" t="s">
        <v>16</v>
      </c>
      <c r="C350" s="1850" t="s">
        <v>3140</v>
      </c>
      <c r="D350" s="1850" t="s">
        <v>3141</v>
      </c>
      <c r="E350" s="1850" t="s">
        <v>3142</v>
      </c>
      <c r="F350" s="1850" t="s">
        <v>2250</v>
      </c>
      <c r="G350" s="1850" t="s">
        <v>22</v>
      </c>
      <c r="H350" s="1850" t="s">
        <v>22</v>
      </c>
      <c r="I350" s="1850" t="s">
        <v>856</v>
      </c>
    </row>
    <row customHeight="1" ht="11.25">
      <c r="A351" s="1850" t="s">
        <v>2246</v>
      </c>
      <c r="B351" s="1850" t="s">
        <v>16</v>
      </c>
      <c r="C351" s="1850" t="s">
        <v>3143</v>
      </c>
      <c r="D351" s="1850" t="s">
        <v>3144</v>
      </c>
      <c r="E351" s="1850" t="s">
        <v>3145</v>
      </c>
      <c r="F351" s="1850" t="s">
        <v>2365</v>
      </c>
      <c r="G351" s="1850" t="s">
        <v>22</v>
      </c>
      <c r="H351" s="1850" t="s">
        <v>22</v>
      </c>
      <c r="I351" s="1850" t="s">
        <v>856</v>
      </c>
    </row>
    <row customHeight="1" ht="11.25">
      <c r="A352" s="1850" t="s">
        <v>2246</v>
      </c>
      <c r="B352" s="1850" t="s">
        <v>16</v>
      </c>
      <c r="C352" s="1850" t="s">
        <v>2500</v>
      </c>
      <c r="D352" s="1850" t="s">
        <v>2501</v>
      </c>
      <c r="E352" s="1850" t="s">
        <v>2502</v>
      </c>
      <c r="F352" s="1850" t="s">
        <v>2503</v>
      </c>
      <c r="G352" s="1850" t="s">
        <v>22</v>
      </c>
      <c r="H352" s="1850" t="s">
        <v>22</v>
      </c>
      <c r="I352" s="1850" t="s">
        <v>856</v>
      </c>
    </row>
    <row customHeight="1" ht="11.25">
      <c r="A353" s="1850" t="s">
        <v>2246</v>
      </c>
      <c r="B353" s="1850" t="s">
        <v>16</v>
      </c>
      <c r="C353" s="1850" t="s">
        <v>2504</v>
      </c>
      <c r="D353" s="1850" t="s">
        <v>2505</v>
      </c>
      <c r="E353" s="1850" t="s">
        <v>2506</v>
      </c>
      <c r="F353" s="1850" t="s">
        <v>2503</v>
      </c>
      <c r="G353" s="1850" t="s">
        <v>22</v>
      </c>
      <c r="H353" s="1850" t="s">
        <v>22</v>
      </c>
      <c r="I353" s="1850" t="s">
        <v>856</v>
      </c>
    </row>
    <row customHeight="1" ht="11.25">
      <c r="A354" s="1850" t="s">
        <v>2246</v>
      </c>
      <c r="B354" s="1850" t="s">
        <v>16</v>
      </c>
      <c r="C354" s="1850" t="s">
        <v>2507</v>
      </c>
      <c r="D354" s="1850" t="s">
        <v>2508</v>
      </c>
      <c r="E354" s="1850" t="s">
        <v>2509</v>
      </c>
      <c r="F354" s="1850" t="s">
        <v>2503</v>
      </c>
      <c r="G354" s="1850" t="s">
        <v>22</v>
      </c>
      <c r="H354" s="1850" t="s">
        <v>22</v>
      </c>
      <c r="I354" s="1850" t="s">
        <v>856</v>
      </c>
    </row>
    <row customHeight="1" ht="11.25">
      <c r="A355" s="1850" t="s">
        <v>2246</v>
      </c>
      <c r="B355" s="1850" t="s">
        <v>16</v>
      </c>
      <c r="C355" s="1850" t="s">
        <v>2510</v>
      </c>
      <c r="D355" s="1850" t="s">
        <v>2511</v>
      </c>
      <c r="E355" s="1850" t="s">
        <v>2512</v>
      </c>
      <c r="F355" s="1850" t="s">
        <v>2345</v>
      </c>
      <c r="G355" s="1850" t="s">
        <v>2513</v>
      </c>
      <c r="H355" s="1850" t="s">
        <v>22</v>
      </c>
      <c r="I355" s="1850" t="s">
        <v>856</v>
      </c>
    </row>
    <row customHeight="1" ht="11.25">
      <c r="A356" s="1850" t="s">
        <v>2246</v>
      </c>
      <c r="B356" s="1850" t="s">
        <v>16</v>
      </c>
      <c r="C356" s="1850" t="s">
        <v>3146</v>
      </c>
      <c r="D356" s="1850" t="s">
        <v>3147</v>
      </c>
      <c r="E356" s="1850" t="s">
        <v>3148</v>
      </c>
      <c r="F356" s="1850" t="s">
        <v>2361</v>
      </c>
      <c r="G356" s="1850" t="s">
        <v>3149</v>
      </c>
      <c r="H356" s="1850" t="s">
        <v>22</v>
      </c>
      <c r="I356" s="1850" t="s">
        <v>856</v>
      </c>
    </row>
    <row customHeight="1" ht="11.25">
      <c r="A357" s="1850" t="s">
        <v>2246</v>
      </c>
      <c r="B357" s="1850" t="s">
        <v>16</v>
      </c>
      <c r="C357" s="1850" t="s">
        <v>2514</v>
      </c>
      <c r="D357" s="1850" t="s">
        <v>2515</v>
      </c>
      <c r="E357" s="1850" t="s">
        <v>2516</v>
      </c>
      <c r="F357" s="1850" t="s">
        <v>2313</v>
      </c>
      <c r="G357" s="1850" t="s">
        <v>2517</v>
      </c>
      <c r="H357" s="1850" t="s">
        <v>22</v>
      </c>
      <c r="I357" s="1850" t="s">
        <v>856</v>
      </c>
    </row>
    <row customHeight="1" ht="11.25">
      <c r="A358" s="1850" t="s">
        <v>2246</v>
      </c>
      <c r="B358" s="1850" t="s">
        <v>16</v>
      </c>
      <c r="C358" s="1850" t="s">
        <v>2518</v>
      </c>
      <c r="D358" s="1850" t="s">
        <v>2519</v>
      </c>
      <c r="E358" s="1850" t="s">
        <v>2520</v>
      </c>
      <c r="F358" s="1850" t="s">
        <v>2345</v>
      </c>
      <c r="G358" s="1850" t="s">
        <v>2521</v>
      </c>
      <c r="H358" s="1850" t="s">
        <v>22</v>
      </c>
      <c r="I358" s="1850" t="s">
        <v>856</v>
      </c>
    </row>
    <row customHeight="1" ht="11.25">
      <c r="A359" s="1850" t="s">
        <v>2246</v>
      </c>
      <c r="B359" s="1850" t="s">
        <v>16</v>
      </c>
      <c r="C359" s="1850" t="s">
        <v>2522</v>
      </c>
      <c r="D359" s="1850" t="s">
        <v>2523</v>
      </c>
      <c r="E359" s="1850" t="s">
        <v>2524</v>
      </c>
      <c r="F359" s="1850" t="s">
        <v>2525</v>
      </c>
      <c r="G359" s="1850" t="s">
        <v>22</v>
      </c>
      <c r="H359" s="1850" t="s">
        <v>22</v>
      </c>
      <c r="I359" s="1850" t="s">
        <v>856</v>
      </c>
    </row>
    <row customHeight="1" ht="11.25">
      <c r="A360" s="1850" t="s">
        <v>2246</v>
      </c>
      <c r="B360" s="1850" t="s">
        <v>16</v>
      </c>
      <c r="C360" s="1850" t="s">
        <v>2531</v>
      </c>
      <c r="D360" s="1850" t="s">
        <v>2532</v>
      </c>
      <c r="E360" s="1850" t="s">
        <v>2533</v>
      </c>
      <c r="F360" s="1850" t="s">
        <v>2345</v>
      </c>
      <c r="G360" s="1850" t="s">
        <v>2534</v>
      </c>
      <c r="H360" s="1850" t="s">
        <v>22</v>
      </c>
      <c r="I360" s="1850" t="s">
        <v>856</v>
      </c>
    </row>
    <row customHeight="1" ht="11.25">
      <c r="A361" s="1850" t="s">
        <v>2246</v>
      </c>
      <c r="B361" s="1850" t="s">
        <v>16</v>
      </c>
      <c r="C361" s="1850" t="s">
        <v>2554</v>
      </c>
      <c r="D361" s="1850" t="s">
        <v>2555</v>
      </c>
      <c r="E361" s="1850" t="s">
        <v>2556</v>
      </c>
      <c r="F361" s="1850" t="s">
        <v>2557</v>
      </c>
      <c r="G361" s="1850" t="s">
        <v>2558</v>
      </c>
      <c r="H361" s="1850" t="s">
        <v>22</v>
      </c>
      <c r="I361" s="1850" t="s">
        <v>856</v>
      </c>
    </row>
    <row customHeight="1" ht="11.25">
      <c r="A362" s="1850" t="s">
        <v>2246</v>
      </c>
      <c r="B362" s="1850" t="s">
        <v>16</v>
      </c>
      <c r="C362" s="1850" t="s">
        <v>2559</v>
      </c>
      <c r="D362" s="1850" t="s">
        <v>2560</v>
      </c>
      <c r="E362" s="1850" t="s">
        <v>2561</v>
      </c>
      <c r="F362" s="1850" t="s">
        <v>2562</v>
      </c>
      <c r="G362" s="1850" t="s">
        <v>22</v>
      </c>
      <c r="H362" s="1850" t="s">
        <v>22</v>
      </c>
      <c r="I362" s="1850" t="s">
        <v>856</v>
      </c>
    </row>
    <row customHeight="1" ht="11.25">
      <c r="A363" s="1850" t="s">
        <v>2246</v>
      </c>
      <c r="B363" s="1850" t="s">
        <v>16</v>
      </c>
      <c r="C363" s="1850" t="s">
        <v>3150</v>
      </c>
      <c r="D363" s="1850" t="s">
        <v>3151</v>
      </c>
      <c r="E363" s="1850" t="s">
        <v>3152</v>
      </c>
      <c r="F363" s="1850" t="s">
        <v>2503</v>
      </c>
      <c r="G363" s="1850" t="s">
        <v>22</v>
      </c>
      <c r="H363" s="1850" t="s">
        <v>22</v>
      </c>
      <c r="I363" s="1850" t="s">
        <v>856</v>
      </c>
    </row>
    <row customHeight="1" ht="11.25">
      <c r="A364" s="1850" t="s">
        <v>2246</v>
      </c>
      <c r="B364" s="1850" t="s">
        <v>16</v>
      </c>
      <c r="C364" s="1850" t="s">
        <v>2563</v>
      </c>
      <c r="D364" s="1850" t="s">
        <v>2564</v>
      </c>
      <c r="E364" s="1850" t="s">
        <v>2565</v>
      </c>
      <c r="F364" s="1850" t="s">
        <v>2562</v>
      </c>
      <c r="G364" s="1850" t="s">
        <v>2566</v>
      </c>
      <c r="H364" s="1850" t="s">
        <v>22</v>
      </c>
      <c r="I364" s="1850" t="s">
        <v>856</v>
      </c>
    </row>
    <row customHeight="1" ht="11.25">
      <c r="A365" s="1850" t="s">
        <v>2246</v>
      </c>
      <c r="B365" s="1850" t="s">
        <v>16</v>
      </c>
      <c r="C365" s="1850" t="s">
        <v>2567</v>
      </c>
      <c r="D365" s="1850" t="s">
        <v>2568</v>
      </c>
      <c r="E365" s="1850" t="s">
        <v>2569</v>
      </c>
      <c r="F365" s="1850" t="s">
        <v>2353</v>
      </c>
      <c r="G365" s="1850" t="s">
        <v>22</v>
      </c>
      <c r="H365" s="1850" t="s">
        <v>22</v>
      </c>
      <c r="I365" s="1850" t="s">
        <v>856</v>
      </c>
    </row>
    <row customHeight="1" ht="11.25">
      <c r="A366" s="1850" t="s">
        <v>2246</v>
      </c>
      <c r="B366" s="1850" t="s">
        <v>16</v>
      </c>
      <c r="C366" s="1850" t="s">
        <v>2570</v>
      </c>
      <c r="D366" s="1850" t="s">
        <v>2571</v>
      </c>
      <c r="E366" s="1850" t="s">
        <v>2572</v>
      </c>
      <c r="F366" s="1850" t="s">
        <v>2503</v>
      </c>
      <c r="G366" s="1850" t="s">
        <v>2573</v>
      </c>
      <c r="H366" s="1850" t="s">
        <v>2574</v>
      </c>
      <c r="I366" s="1850" t="s">
        <v>856</v>
      </c>
    </row>
    <row customHeight="1" ht="11.25">
      <c r="A367" s="1850" t="s">
        <v>2246</v>
      </c>
      <c r="B367" s="1850" t="s">
        <v>16</v>
      </c>
      <c r="C367" s="1850" t="s">
        <v>3153</v>
      </c>
      <c r="D367" s="1850" t="s">
        <v>3154</v>
      </c>
      <c r="E367" s="1850" t="s">
        <v>3155</v>
      </c>
      <c r="F367" s="1850" t="s">
        <v>2552</v>
      </c>
      <c r="G367" s="1850" t="s">
        <v>3156</v>
      </c>
      <c r="H367" s="1850" t="s">
        <v>22</v>
      </c>
      <c r="I367" s="1850" t="s">
        <v>856</v>
      </c>
    </row>
    <row customHeight="1" ht="11.25">
      <c r="A368" s="1850" t="s">
        <v>2246</v>
      </c>
      <c r="B368" s="1850" t="s">
        <v>16</v>
      </c>
      <c r="C368" s="1850" t="s">
        <v>2575</v>
      </c>
      <c r="D368" s="1850" t="s">
        <v>2576</v>
      </c>
      <c r="E368" s="1850" t="s">
        <v>2577</v>
      </c>
      <c r="F368" s="1850" t="s">
        <v>2557</v>
      </c>
      <c r="G368" s="1850" t="s">
        <v>2578</v>
      </c>
      <c r="H368" s="1850" t="s">
        <v>22</v>
      </c>
      <c r="I368" s="1850" t="s">
        <v>856</v>
      </c>
    </row>
    <row customHeight="1" ht="11.25">
      <c r="A369" s="1850" t="s">
        <v>2246</v>
      </c>
      <c r="B369" s="1850" t="s">
        <v>16</v>
      </c>
      <c r="C369" s="1850" t="s">
        <v>3157</v>
      </c>
      <c r="D369" s="1850" t="s">
        <v>3158</v>
      </c>
      <c r="E369" s="1850" t="s">
        <v>3159</v>
      </c>
      <c r="F369" s="1850" t="s">
        <v>2254</v>
      </c>
      <c r="G369" s="1850" t="s">
        <v>22</v>
      </c>
      <c r="H369" s="1850" t="s">
        <v>22</v>
      </c>
      <c r="I369" s="1850" t="s">
        <v>856</v>
      </c>
    </row>
    <row customHeight="1" ht="11.25">
      <c r="A370" s="1850" t="s">
        <v>2246</v>
      </c>
      <c r="B370" s="1850" t="s">
        <v>16</v>
      </c>
      <c r="C370" s="1850" t="s">
        <v>2583</v>
      </c>
      <c r="D370" s="1850" t="s">
        <v>2584</v>
      </c>
      <c r="E370" s="1850" t="s">
        <v>2585</v>
      </c>
      <c r="F370" s="1850" t="s">
        <v>2298</v>
      </c>
      <c r="G370" s="1850" t="s">
        <v>22</v>
      </c>
      <c r="H370" s="1850" t="s">
        <v>22</v>
      </c>
      <c r="I370" s="1850" t="s">
        <v>856</v>
      </c>
    </row>
    <row customHeight="1" ht="11.25">
      <c r="A371" s="1850" t="s">
        <v>2246</v>
      </c>
      <c r="B371" s="1850" t="s">
        <v>16</v>
      </c>
      <c r="C371" s="1850" t="s">
        <v>2586</v>
      </c>
      <c r="D371" s="1850" t="s">
        <v>2587</v>
      </c>
      <c r="E371" s="1850" t="s">
        <v>2588</v>
      </c>
      <c r="F371" s="1850" t="s">
        <v>2298</v>
      </c>
      <c r="G371" s="1850" t="s">
        <v>2589</v>
      </c>
      <c r="H371" s="1850" t="s">
        <v>22</v>
      </c>
      <c r="I371" s="1850" t="s">
        <v>856</v>
      </c>
    </row>
    <row customHeight="1" ht="11.25">
      <c r="A372" s="1850" t="s">
        <v>2246</v>
      </c>
      <c r="B372" s="1850" t="s">
        <v>16</v>
      </c>
      <c r="C372" s="1850" t="s">
        <v>2590</v>
      </c>
      <c r="D372" s="1850" t="s">
        <v>2591</v>
      </c>
      <c r="E372" s="1850" t="s">
        <v>2592</v>
      </c>
      <c r="F372" s="1850" t="s">
        <v>2593</v>
      </c>
      <c r="G372" s="1850" t="s">
        <v>2594</v>
      </c>
      <c r="H372" s="1850" t="s">
        <v>22</v>
      </c>
      <c r="I372" s="1850" t="s">
        <v>856</v>
      </c>
    </row>
    <row customHeight="1" ht="11.25">
      <c r="A373" s="1850" t="s">
        <v>2246</v>
      </c>
      <c r="B373" s="1850" t="s">
        <v>16</v>
      </c>
      <c r="C373" s="1850" t="s">
        <v>2595</v>
      </c>
      <c r="D373" s="1850" t="s">
        <v>2596</v>
      </c>
      <c r="E373" s="1850" t="s">
        <v>2597</v>
      </c>
      <c r="F373" s="1850" t="s">
        <v>2525</v>
      </c>
      <c r="G373" s="1850" t="s">
        <v>22</v>
      </c>
      <c r="H373" s="1850" t="s">
        <v>22</v>
      </c>
      <c r="I373" s="1850" t="s">
        <v>856</v>
      </c>
    </row>
    <row customHeight="1" ht="11.25">
      <c r="A374" s="1850" t="s">
        <v>2246</v>
      </c>
      <c r="B374" s="1850" t="s">
        <v>16</v>
      </c>
      <c r="C374" s="1850" t="s">
        <v>3160</v>
      </c>
      <c r="D374" s="1850" t="s">
        <v>3161</v>
      </c>
      <c r="E374" s="1850" t="s">
        <v>3162</v>
      </c>
      <c r="F374" s="1850" t="s">
        <v>2306</v>
      </c>
      <c r="G374" s="1850" t="s">
        <v>22</v>
      </c>
      <c r="H374" s="1850" t="s">
        <v>22</v>
      </c>
      <c r="I374" s="1850" t="s">
        <v>856</v>
      </c>
    </row>
    <row customHeight="1" ht="11.25">
      <c r="A375" s="1850" t="s">
        <v>2246</v>
      </c>
      <c r="B375" s="1850" t="s">
        <v>16</v>
      </c>
      <c r="C375" s="1850" t="s">
        <v>2598</v>
      </c>
      <c r="D375" s="1850" t="s">
        <v>2599</v>
      </c>
      <c r="E375" s="1850" t="s">
        <v>2600</v>
      </c>
      <c r="F375" s="1850" t="s">
        <v>2298</v>
      </c>
      <c r="G375" s="1850" t="s">
        <v>22</v>
      </c>
      <c r="H375" s="1850" t="s">
        <v>22</v>
      </c>
      <c r="I375" s="1850" t="s">
        <v>856</v>
      </c>
    </row>
    <row customHeight="1" ht="11.25">
      <c r="A376" s="1850" t="s">
        <v>2246</v>
      </c>
      <c r="B376" s="1850" t="s">
        <v>16</v>
      </c>
      <c r="C376" s="1850" t="s">
        <v>2601</v>
      </c>
      <c r="D376" s="1850" t="s">
        <v>2602</v>
      </c>
      <c r="E376" s="1850" t="s">
        <v>2603</v>
      </c>
      <c r="F376" s="1850" t="s">
        <v>2492</v>
      </c>
      <c r="G376" s="1850" t="s">
        <v>22</v>
      </c>
      <c r="H376" s="1850" t="s">
        <v>22</v>
      </c>
      <c r="I376" s="1850" t="s">
        <v>856</v>
      </c>
    </row>
    <row customHeight="1" ht="11.25">
      <c r="A377" s="1850" t="s">
        <v>2246</v>
      </c>
      <c r="B377" s="1850" t="s">
        <v>16</v>
      </c>
      <c r="C377" s="1850" t="s">
        <v>2604</v>
      </c>
      <c r="D377" s="1850" t="s">
        <v>2602</v>
      </c>
      <c r="E377" s="1850" t="s">
        <v>2603</v>
      </c>
      <c r="F377" s="1850" t="s">
        <v>2548</v>
      </c>
      <c r="G377" s="1850" t="s">
        <v>22</v>
      </c>
      <c r="H377" s="1850" t="s">
        <v>22</v>
      </c>
      <c r="I377" s="1850" t="s">
        <v>856</v>
      </c>
    </row>
    <row customHeight="1" ht="11.25">
      <c r="A378" s="1850" t="s">
        <v>2246</v>
      </c>
      <c r="B378" s="1850" t="s">
        <v>16</v>
      </c>
      <c r="C378" s="1850" t="s">
        <v>2605</v>
      </c>
      <c r="D378" s="1850" t="s">
        <v>2606</v>
      </c>
      <c r="E378" s="1850" t="s">
        <v>2386</v>
      </c>
      <c r="F378" s="1850" t="s">
        <v>2607</v>
      </c>
      <c r="G378" s="1850" t="s">
        <v>2608</v>
      </c>
      <c r="H378" s="1850" t="s">
        <v>22</v>
      </c>
      <c r="I378" s="1850" t="s">
        <v>856</v>
      </c>
    </row>
    <row customHeight="1" ht="11.25">
      <c r="A379" s="1850" t="s">
        <v>2246</v>
      </c>
      <c r="B379" s="1850" t="s">
        <v>16</v>
      </c>
      <c r="C379" s="1850" t="s">
        <v>2609</v>
      </c>
      <c r="D379" s="1850" t="s">
        <v>2610</v>
      </c>
      <c r="E379" s="1850" t="s">
        <v>2611</v>
      </c>
      <c r="F379" s="1850" t="s">
        <v>2612</v>
      </c>
      <c r="G379" s="1850" t="s">
        <v>22</v>
      </c>
      <c r="H379" s="1850" t="s">
        <v>22</v>
      </c>
      <c r="I379" s="1850" t="s">
        <v>856</v>
      </c>
    </row>
    <row customHeight="1" ht="11.25">
      <c r="A380" s="1850" t="s">
        <v>2246</v>
      </c>
      <c r="B380" s="1850" t="s">
        <v>16</v>
      </c>
      <c r="C380" s="1850" t="s">
        <v>2633</v>
      </c>
      <c r="D380" s="1850" t="s">
        <v>2634</v>
      </c>
      <c r="E380" s="1850" t="s">
        <v>2635</v>
      </c>
      <c r="F380" s="1850" t="s">
        <v>2557</v>
      </c>
      <c r="G380" s="1850" t="s">
        <v>22</v>
      </c>
      <c r="H380" s="1850" t="s">
        <v>22</v>
      </c>
      <c r="I380" s="1850" t="s">
        <v>856</v>
      </c>
    </row>
    <row customHeight="1" ht="11.25">
      <c r="A381" s="1850" t="s">
        <v>2246</v>
      </c>
      <c r="B381" s="1850" t="s">
        <v>16</v>
      </c>
      <c r="C381" s="1850" t="s">
        <v>3163</v>
      </c>
      <c r="D381" s="1850" t="s">
        <v>3164</v>
      </c>
      <c r="E381" s="1850" t="s">
        <v>3165</v>
      </c>
      <c r="F381" s="1850" t="s">
        <v>2445</v>
      </c>
      <c r="G381" s="1850" t="s">
        <v>22</v>
      </c>
      <c r="H381" s="1850" t="s">
        <v>22</v>
      </c>
      <c r="I381" s="1850" t="s">
        <v>856</v>
      </c>
    </row>
    <row customHeight="1" ht="11.25">
      <c r="A382" s="1850" t="s">
        <v>2246</v>
      </c>
      <c r="B382" s="1850" t="s">
        <v>16</v>
      </c>
      <c r="C382" s="1850" t="s">
        <v>3166</v>
      </c>
      <c r="D382" s="1850" t="s">
        <v>3167</v>
      </c>
      <c r="E382" s="1850" t="s">
        <v>3168</v>
      </c>
      <c r="F382" s="1850" t="s">
        <v>2254</v>
      </c>
      <c r="G382" s="1850" t="s">
        <v>3169</v>
      </c>
      <c r="H382" s="1850" t="s">
        <v>22</v>
      </c>
      <c r="I382" s="1850" t="s">
        <v>856</v>
      </c>
    </row>
    <row customHeight="1" ht="11.25">
      <c r="A383" s="1850" t="s">
        <v>2246</v>
      </c>
      <c r="B383" s="1850" t="s">
        <v>16</v>
      </c>
      <c r="C383" s="1850" t="s">
        <v>3170</v>
      </c>
      <c r="D383" s="1850" t="s">
        <v>3171</v>
      </c>
      <c r="E383" s="1850" t="s">
        <v>3172</v>
      </c>
      <c r="F383" s="1850" t="s">
        <v>2298</v>
      </c>
      <c r="G383" s="1850" t="s">
        <v>22</v>
      </c>
      <c r="H383" s="1850" t="s">
        <v>22</v>
      </c>
      <c r="I383" s="1850" t="s">
        <v>856</v>
      </c>
    </row>
    <row customHeight="1" ht="11.25">
      <c r="A384" s="1850" t="s">
        <v>2246</v>
      </c>
      <c r="B384" s="1850" t="s">
        <v>16</v>
      </c>
      <c r="C384" s="1850" t="s">
        <v>2643</v>
      </c>
      <c r="D384" s="1850" t="s">
        <v>2644</v>
      </c>
      <c r="E384" s="1850" t="s">
        <v>2645</v>
      </c>
      <c r="F384" s="1850" t="s">
        <v>2298</v>
      </c>
      <c r="G384" s="1850" t="s">
        <v>22</v>
      </c>
      <c r="H384" s="1850" t="s">
        <v>22</v>
      </c>
      <c r="I384" s="1850" t="s">
        <v>856</v>
      </c>
    </row>
    <row customHeight="1" ht="11.25">
      <c r="A385" s="1850" t="s">
        <v>2246</v>
      </c>
      <c r="B385" s="1850" t="s">
        <v>16</v>
      </c>
      <c r="C385" s="1850" t="s">
        <v>2649</v>
      </c>
      <c r="D385" s="1850" t="s">
        <v>2650</v>
      </c>
      <c r="E385" s="1850" t="s">
        <v>2651</v>
      </c>
      <c r="F385" s="1850" t="s">
        <v>2250</v>
      </c>
      <c r="G385" s="1850" t="s">
        <v>22</v>
      </c>
      <c r="H385" s="1850" t="s">
        <v>22</v>
      </c>
      <c r="I385" s="1850" t="s">
        <v>856</v>
      </c>
    </row>
    <row customHeight="1" ht="11.25">
      <c r="A386" s="1850" t="s">
        <v>2246</v>
      </c>
      <c r="B386" s="1850" t="s">
        <v>16</v>
      </c>
      <c r="C386" s="1850" t="s">
        <v>2658</v>
      </c>
      <c r="D386" s="1850" t="s">
        <v>2659</v>
      </c>
      <c r="E386" s="1850" t="s">
        <v>2660</v>
      </c>
      <c r="F386" s="1850" t="s">
        <v>2349</v>
      </c>
      <c r="G386" s="1850" t="s">
        <v>2661</v>
      </c>
      <c r="H386" s="1850" t="s">
        <v>22</v>
      </c>
      <c r="I386" s="1850" t="s">
        <v>856</v>
      </c>
    </row>
    <row customHeight="1" ht="11.25">
      <c r="A387" s="1850" t="s">
        <v>2246</v>
      </c>
      <c r="B387" s="1850" t="s">
        <v>16</v>
      </c>
      <c r="C387" s="1850" t="s">
        <v>3173</v>
      </c>
      <c r="D387" s="1850" t="s">
        <v>3174</v>
      </c>
      <c r="E387" s="1850" t="s">
        <v>3175</v>
      </c>
      <c r="F387" s="1850" t="s">
        <v>2452</v>
      </c>
      <c r="G387" s="1850" t="s">
        <v>22</v>
      </c>
      <c r="H387" s="1850" t="s">
        <v>22</v>
      </c>
      <c r="I387" s="1850" t="s">
        <v>856</v>
      </c>
    </row>
    <row customHeight="1" ht="11.25">
      <c r="A388" s="1850" t="s">
        <v>2246</v>
      </c>
      <c r="B388" s="1850" t="s">
        <v>16</v>
      </c>
      <c r="C388" s="1850" t="s">
        <v>3176</v>
      </c>
      <c r="D388" s="1850" t="s">
        <v>3177</v>
      </c>
      <c r="E388" s="1850" t="s">
        <v>3178</v>
      </c>
      <c r="F388" s="1850" t="s">
        <v>2365</v>
      </c>
      <c r="G388" s="1850" t="s">
        <v>22</v>
      </c>
      <c r="H388" s="1850" t="s">
        <v>22</v>
      </c>
      <c r="I388" s="1850" t="s">
        <v>856</v>
      </c>
    </row>
    <row customHeight="1" ht="11.25">
      <c r="A389" s="1850" t="s">
        <v>2246</v>
      </c>
      <c r="B389" s="1850" t="s">
        <v>16</v>
      </c>
      <c r="C389" s="1850" t="s">
        <v>3179</v>
      </c>
      <c r="D389" s="1850" t="s">
        <v>3177</v>
      </c>
      <c r="E389" s="1850" t="s">
        <v>3180</v>
      </c>
      <c r="F389" s="1850" t="s">
        <v>2361</v>
      </c>
      <c r="G389" s="1850" t="s">
        <v>22</v>
      </c>
      <c r="H389" s="1850" t="s">
        <v>22</v>
      </c>
      <c r="I389" s="1850" t="s">
        <v>856</v>
      </c>
    </row>
    <row customHeight="1" ht="11.25">
      <c r="A390" s="1850" t="s">
        <v>2246</v>
      </c>
      <c r="B390" s="1850" t="s">
        <v>16</v>
      </c>
      <c r="C390" s="1850" t="s">
        <v>3181</v>
      </c>
      <c r="D390" s="1850" t="s">
        <v>3177</v>
      </c>
      <c r="E390" s="1850" t="s">
        <v>3182</v>
      </c>
      <c r="F390" s="1850" t="s">
        <v>2313</v>
      </c>
      <c r="G390" s="1850" t="s">
        <v>22</v>
      </c>
      <c r="H390" s="1850" t="s">
        <v>22</v>
      </c>
      <c r="I390" s="1850" t="s">
        <v>856</v>
      </c>
    </row>
    <row customHeight="1" ht="11.25">
      <c r="A391" s="1850" t="s">
        <v>2246</v>
      </c>
      <c r="B391" s="1850" t="s">
        <v>16</v>
      </c>
      <c r="C391" s="1850" t="s">
        <v>3183</v>
      </c>
      <c r="D391" s="1850" t="s">
        <v>3184</v>
      </c>
      <c r="E391" s="1850" t="s">
        <v>3185</v>
      </c>
      <c r="F391" s="1850" t="s">
        <v>2298</v>
      </c>
      <c r="G391" s="1850" t="s">
        <v>22</v>
      </c>
      <c r="H391" s="1850" t="s">
        <v>22</v>
      </c>
      <c r="I391" s="1850" t="s">
        <v>856</v>
      </c>
    </row>
    <row customHeight="1" ht="11.25">
      <c r="A392" s="1850" t="s">
        <v>2246</v>
      </c>
      <c r="B392" s="1850" t="s">
        <v>16</v>
      </c>
      <c r="C392" s="1850" t="s">
        <v>2673</v>
      </c>
      <c r="D392" s="1850" t="s">
        <v>2674</v>
      </c>
      <c r="E392" s="1850" t="s">
        <v>2675</v>
      </c>
      <c r="F392" s="1850" t="s">
        <v>2254</v>
      </c>
      <c r="G392" s="1850" t="s">
        <v>22</v>
      </c>
      <c r="H392" s="1850" t="s">
        <v>22</v>
      </c>
      <c r="I392" s="1850" t="s">
        <v>856</v>
      </c>
    </row>
    <row customHeight="1" ht="11.25">
      <c r="A393" s="1850" t="s">
        <v>2246</v>
      </c>
      <c r="B393" s="1850" t="s">
        <v>16</v>
      </c>
      <c r="C393" s="1850" t="s">
        <v>3186</v>
      </c>
      <c r="D393" s="1850" t="s">
        <v>3187</v>
      </c>
      <c r="E393" s="1850" t="s">
        <v>3188</v>
      </c>
      <c r="F393" s="1850" t="s">
        <v>3189</v>
      </c>
      <c r="G393" s="1850" t="s">
        <v>22</v>
      </c>
      <c r="H393" s="1850" t="s">
        <v>22</v>
      </c>
      <c r="I393" s="1850" t="s">
        <v>856</v>
      </c>
    </row>
    <row customHeight="1" ht="11.25">
      <c r="A394" s="1850" t="s">
        <v>2246</v>
      </c>
      <c r="B394" s="1850" t="s">
        <v>16</v>
      </c>
      <c r="C394" s="1850" t="s">
        <v>2676</v>
      </c>
      <c r="D394" s="1850" t="s">
        <v>2677</v>
      </c>
      <c r="E394" s="1850" t="s">
        <v>2678</v>
      </c>
      <c r="F394" s="1850" t="s">
        <v>2492</v>
      </c>
      <c r="G394" s="1850" t="s">
        <v>22</v>
      </c>
      <c r="H394" s="1850" t="s">
        <v>22</v>
      </c>
      <c r="I394" s="1850" t="s">
        <v>856</v>
      </c>
    </row>
    <row customHeight="1" ht="11.25">
      <c r="A395" s="1850" t="s">
        <v>2246</v>
      </c>
      <c r="B395" s="1850" t="s">
        <v>16</v>
      </c>
      <c r="C395" s="1850" t="s">
        <v>2689</v>
      </c>
      <c r="D395" s="1850" t="s">
        <v>2690</v>
      </c>
      <c r="E395" s="1850" t="s">
        <v>2691</v>
      </c>
      <c r="F395" s="1850" t="s">
        <v>2692</v>
      </c>
      <c r="G395" s="1850" t="s">
        <v>2693</v>
      </c>
      <c r="H395" s="1850" t="s">
        <v>22</v>
      </c>
      <c r="I395" s="1850" t="s">
        <v>856</v>
      </c>
    </row>
    <row customHeight="1" ht="11.25">
      <c r="A396" s="1850" t="s">
        <v>2246</v>
      </c>
      <c r="B396" s="1850" t="s">
        <v>16</v>
      </c>
      <c r="C396" s="1850" t="s">
        <v>2694</v>
      </c>
      <c r="D396" s="1850" t="s">
        <v>2690</v>
      </c>
      <c r="E396" s="1850" t="s">
        <v>2691</v>
      </c>
      <c r="F396" s="1850" t="s">
        <v>2695</v>
      </c>
      <c r="G396" s="1850" t="s">
        <v>22</v>
      </c>
      <c r="H396" s="1850" t="s">
        <v>22</v>
      </c>
      <c r="I396" s="1850" t="s">
        <v>856</v>
      </c>
    </row>
    <row customHeight="1" ht="11.25">
      <c r="A397" s="1850" t="s">
        <v>2246</v>
      </c>
      <c r="B397" s="1850" t="s">
        <v>16</v>
      </c>
      <c r="C397" s="1850" t="s">
        <v>2703</v>
      </c>
      <c r="D397" s="1850" t="s">
        <v>2704</v>
      </c>
      <c r="E397" s="1850" t="s">
        <v>2691</v>
      </c>
      <c r="F397" s="1850" t="s">
        <v>2705</v>
      </c>
      <c r="G397" s="1850" t="s">
        <v>22</v>
      </c>
      <c r="H397" s="1850" t="s">
        <v>22</v>
      </c>
      <c r="I397" s="1850" t="s">
        <v>856</v>
      </c>
    </row>
    <row customHeight="1" ht="11.25">
      <c r="A398" s="1850" t="s">
        <v>2246</v>
      </c>
      <c r="B398" s="1850" t="s">
        <v>16</v>
      </c>
      <c r="C398" s="1850" t="s">
        <v>2706</v>
      </c>
      <c r="D398" s="1850" t="s">
        <v>2707</v>
      </c>
      <c r="E398" s="1850" t="s">
        <v>2708</v>
      </c>
      <c r="F398" s="1850" t="s">
        <v>2473</v>
      </c>
      <c r="G398" s="1850" t="s">
        <v>22</v>
      </c>
      <c r="H398" s="1850" t="s">
        <v>22</v>
      </c>
      <c r="I398" s="1850" t="s">
        <v>856</v>
      </c>
    </row>
    <row customHeight="1" ht="11.25">
      <c r="A399" s="1850" t="s">
        <v>2246</v>
      </c>
      <c r="B399" s="1850" t="s">
        <v>16</v>
      </c>
      <c r="C399" s="1850" t="s">
        <v>3190</v>
      </c>
      <c r="D399" s="1850" t="s">
        <v>3191</v>
      </c>
      <c r="E399" s="1850" t="s">
        <v>3192</v>
      </c>
      <c r="F399" s="1850" t="s">
        <v>2499</v>
      </c>
      <c r="G399" s="1850" t="s">
        <v>3193</v>
      </c>
      <c r="H399" s="1850" t="s">
        <v>22</v>
      </c>
      <c r="I399" s="1850" t="s">
        <v>856</v>
      </c>
    </row>
    <row customHeight="1" ht="11.25">
      <c r="A400" s="1850" t="s">
        <v>2246</v>
      </c>
      <c r="B400" s="1850" t="s">
        <v>16</v>
      </c>
      <c r="C400" s="1850" t="s">
        <v>2712</v>
      </c>
      <c r="D400" s="1850" t="s">
        <v>2713</v>
      </c>
      <c r="E400" s="1850" t="s">
        <v>2714</v>
      </c>
      <c r="F400" s="1850" t="s">
        <v>2492</v>
      </c>
      <c r="G400" s="1850" t="s">
        <v>22</v>
      </c>
      <c r="H400" s="1850" t="s">
        <v>22</v>
      </c>
      <c r="I400" s="1850" t="s">
        <v>856</v>
      </c>
    </row>
    <row customHeight="1" ht="11.25">
      <c r="A401" s="1850" t="s">
        <v>2246</v>
      </c>
      <c r="B401" s="1850" t="s">
        <v>16</v>
      </c>
      <c r="C401" s="1850" t="s">
        <v>2715</v>
      </c>
      <c r="D401" s="1850" t="s">
        <v>2716</v>
      </c>
      <c r="E401" s="1850" t="s">
        <v>2717</v>
      </c>
      <c r="F401" s="1850" t="s">
        <v>2557</v>
      </c>
      <c r="G401" s="1850" t="s">
        <v>22</v>
      </c>
      <c r="H401" s="1850" t="s">
        <v>22</v>
      </c>
      <c r="I401" s="1850" t="s">
        <v>856</v>
      </c>
    </row>
    <row customHeight="1" ht="11.25">
      <c r="A402" s="1850" t="s">
        <v>2246</v>
      </c>
      <c r="B402" s="1850" t="s">
        <v>16</v>
      </c>
      <c r="C402" s="1850" t="s">
        <v>2718</v>
      </c>
      <c r="D402" s="1850" t="s">
        <v>2719</v>
      </c>
      <c r="E402" s="1850" t="s">
        <v>2720</v>
      </c>
      <c r="F402" s="1850" t="s">
        <v>2250</v>
      </c>
      <c r="G402" s="1850" t="s">
        <v>22</v>
      </c>
      <c r="H402" s="1850" t="s">
        <v>22</v>
      </c>
      <c r="I402" s="1850" t="s">
        <v>856</v>
      </c>
    </row>
    <row customHeight="1" ht="11.25">
      <c r="A403" s="1850" t="s">
        <v>2246</v>
      </c>
      <c r="B403" s="1850" t="s">
        <v>16</v>
      </c>
      <c r="C403" s="1850" t="s">
        <v>2721</v>
      </c>
      <c r="D403" s="1850" t="s">
        <v>2722</v>
      </c>
      <c r="E403" s="1850" t="s">
        <v>2723</v>
      </c>
      <c r="F403" s="1850" t="s">
        <v>2250</v>
      </c>
      <c r="G403" s="1850" t="s">
        <v>22</v>
      </c>
      <c r="H403" s="1850" t="s">
        <v>22</v>
      </c>
      <c r="I403" s="1850" t="s">
        <v>856</v>
      </c>
    </row>
    <row customHeight="1" ht="11.25">
      <c r="A404" s="1850" t="s">
        <v>2246</v>
      </c>
      <c r="B404" s="1850" t="s">
        <v>16</v>
      </c>
      <c r="C404" s="1850" t="s">
        <v>2724</v>
      </c>
      <c r="D404" s="1850" t="s">
        <v>2725</v>
      </c>
      <c r="E404" s="1850" t="s">
        <v>2726</v>
      </c>
      <c r="F404" s="1850" t="s">
        <v>2250</v>
      </c>
      <c r="G404" s="1850" t="s">
        <v>22</v>
      </c>
      <c r="H404" s="1850" t="s">
        <v>22</v>
      </c>
      <c r="I404" s="1850" t="s">
        <v>856</v>
      </c>
    </row>
    <row customHeight="1" ht="11.25">
      <c r="A405" s="1850" t="s">
        <v>2246</v>
      </c>
      <c r="B405" s="1850" t="s">
        <v>16</v>
      </c>
      <c r="C405" s="1850" t="s">
        <v>2727</v>
      </c>
      <c r="D405" s="1850" t="s">
        <v>2728</v>
      </c>
      <c r="E405" s="1850" t="s">
        <v>2729</v>
      </c>
      <c r="F405" s="1850" t="s">
        <v>2250</v>
      </c>
      <c r="G405" s="1850" t="s">
        <v>22</v>
      </c>
      <c r="H405" s="1850" t="s">
        <v>22</v>
      </c>
      <c r="I405" s="1850" t="s">
        <v>856</v>
      </c>
    </row>
    <row customHeight="1" ht="11.25">
      <c r="A406" s="1850" t="s">
        <v>2246</v>
      </c>
      <c r="B406" s="1850" t="s">
        <v>16</v>
      </c>
      <c r="C406" s="1850" t="s">
        <v>3194</v>
      </c>
      <c r="D406" s="1850" t="s">
        <v>3195</v>
      </c>
      <c r="E406" s="1850" t="s">
        <v>3196</v>
      </c>
      <c r="F406" s="1850" t="s">
        <v>2250</v>
      </c>
      <c r="G406" s="1850" t="s">
        <v>22</v>
      </c>
      <c r="H406" s="1850" t="s">
        <v>3197</v>
      </c>
      <c r="I406" s="1850" t="s">
        <v>856</v>
      </c>
    </row>
    <row customHeight="1" ht="11.25">
      <c r="A407" s="1850" t="s">
        <v>2246</v>
      </c>
      <c r="B407" s="1850" t="s">
        <v>16</v>
      </c>
      <c r="C407" s="1850" t="s">
        <v>2730</v>
      </c>
      <c r="D407" s="1850" t="s">
        <v>2731</v>
      </c>
      <c r="E407" s="1850" t="s">
        <v>2732</v>
      </c>
      <c r="F407" s="1850" t="s">
        <v>2361</v>
      </c>
      <c r="G407" s="1850" t="s">
        <v>22</v>
      </c>
      <c r="H407" s="1850" t="s">
        <v>22</v>
      </c>
      <c r="I407" s="1850" t="s">
        <v>856</v>
      </c>
    </row>
    <row customHeight="1" ht="11.25">
      <c r="A408" s="1850" t="s">
        <v>2246</v>
      </c>
      <c r="B408" s="1850" t="s">
        <v>16</v>
      </c>
      <c r="C408" s="1850" t="s">
        <v>2733</v>
      </c>
      <c r="D408" s="1850" t="s">
        <v>2734</v>
      </c>
      <c r="E408" s="1850" t="s">
        <v>2735</v>
      </c>
      <c r="F408" s="1850" t="s">
        <v>2492</v>
      </c>
      <c r="G408" s="1850" t="s">
        <v>22</v>
      </c>
      <c r="H408" s="1850" t="s">
        <v>22</v>
      </c>
      <c r="I408" s="1850" t="s">
        <v>856</v>
      </c>
    </row>
    <row customHeight="1" ht="11.25">
      <c r="A409" s="1850" t="s">
        <v>2246</v>
      </c>
      <c r="B409" s="1850" t="s">
        <v>16</v>
      </c>
      <c r="C409" s="1850" t="s">
        <v>2742</v>
      </c>
      <c r="D409" s="1850" t="s">
        <v>2740</v>
      </c>
      <c r="E409" s="1850" t="s">
        <v>2743</v>
      </c>
      <c r="F409" s="1850" t="s">
        <v>2744</v>
      </c>
      <c r="G409" s="1850" t="s">
        <v>22</v>
      </c>
      <c r="H409" s="1850" t="s">
        <v>22</v>
      </c>
      <c r="I409" s="1850" t="s">
        <v>856</v>
      </c>
    </row>
    <row customHeight="1" ht="11.25">
      <c r="A410" s="1850" t="s">
        <v>2246</v>
      </c>
      <c r="B410" s="1850" t="s">
        <v>16</v>
      </c>
      <c r="C410" s="1850" t="s">
        <v>3198</v>
      </c>
      <c r="D410" s="1850" t="s">
        <v>2749</v>
      </c>
      <c r="E410" s="1850" t="s">
        <v>3199</v>
      </c>
      <c r="F410" s="1850" t="s">
        <v>2492</v>
      </c>
      <c r="G410" s="1850" t="s">
        <v>22</v>
      </c>
      <c r="H410" s="1850" t="s">
        <v>3200</v>
      </c>
      <c r="I410" s="1850" t="s">
        <v>856</v>
      </c>
    </row>
    <row customHeight="1" ht="11.25">
      <c r="A411" s="1850" t="s">
        <v>2246</v>
      </c>
      <c r="B411" s="1850" t="s">
        <v>16</v>
      </c>
      <c r="C411" s="1850" t="s">
        <v>3201</v>
      </c>
      <c r="D411" s="1850" t="s">
        <v>3202</v>
      </c>
      <c r="E411" s="1850" t="s">
        <v>3203</v>
      </c>
      <c r="F411" s="1850" t="s">
        <v>2562</v>
      </c>
      <c r="G411" s="1850" t="s">
        <v>22</v>
      </c>
      <c r="H411" s="1850" t="s">
        <v>22</v>
      </c>
      <c r="I411" s="1850" t="s">
        <v>856</v>
      </c>
    </row>
    <row customHeight="1" ht="11.25">
      <c r="A412" s="1850" t="s">
        <v>2246</v>
      </c>
      <c r="B412" s="1850" t="s">
        <v>16</v>
      </c>
      <c r="C412" s="1850" t="s">
        <v>2751</v>
      </c>
      <c r="D412" s="1850" t="s">
        <v>2752</v>
      </c>
      <c r="E412" s="1850" t="s">
        <v>2753</v>
      </c>
      <c r="F412" s="1850" t="s">
        <v>2254</v>
      </c>
      <c r="G412" s="1850" t="s">
        <v>22</v>
      </c>
      <c r="H412" s="1850" t="s">
        <v>22</v>
      </c>
      <c r="I412" s="1850" t="s">
        <v>856</v>
      </c>
    </row>
    <row customHeight="1" ht="11.25">
      <c r="A413" s="1850" t="s">
        <v>2246</v>
      </c>
      <c r="B413" s="1850" t="s">
        <v>16</v>
      </c>
      <c r="C413" s="1850" t="s">
        <v>2764</v>
      </c>
      <c r="D413" s="1850" t="s">
        <v>2765</v>
      </c>
      <c r="E413" s="1850" t="s">
        <v>2766</v>
      </c>
      <c r="F413" s="1850" t="s">
        <v>2321</v>
      </c>
      <c r="G413" s="1850" t="s">
        <v>22</v>
      </c>
      <c r="H413" s="1850" t="s">
        <v>22</v>
      </c>
      <c r="I413" s="1850" t="s">
        <v>856</v>
      </c>
    </row>
    <row customHeight="1" ht="11.25">
      <c r="A414" s="1850" t="s">
        <v>2246</v>
      </c>
      <c r="B414" s="1850" t="s">
        <v>16</v>
      </c>
      <c r="C414" s="1850" t="s">
        <v>2767</v>
      </c>
      <c r="D414" s="1850" t="s">
        <v>2768</v>
      </c>
      <c r="E414" s="1850" t="s">
        <v>2769</v>
      </c>
      <c r="F414" s="1850" t="s">
        <v>2770</v>
      </c>
      <c r="G414" s="1850" t="s">
        <v>2771</v>
      </c>
      <c r="H414" s="1850" t="s">
        <v>22</v>
      </c>
      <c r="I414" s="1850" t="s">
        <v>856</v>
      </c>
    </row>
    <row customHeight="1" ht="11.25">
      <c r="A415" s="1850" t="s">
        <v>2246</v>
      </c>
      <c r="B415" s="1850" t="s">
        <v>16</v>
      </c>
      <c r="C415" s="1850" t="s">
        <v>3076</v>
      </c>
      <c r="D415" s="1850" t="s">
        <v>3077</v>
      </c>
      <c r="E415" s="1850" t="s">
        <v>3078</v>
      </c>
      <c r="F415" s="1850" t="s">
        <v>2529</v>
      </c>
      <c r="G415" s="1850" t="s">
        <v>3079</v>
      </c>
      <c r="H415" s="1850" t="s">
        <v>22</v>
      </c>
      <c r="I415" s="1850" t="s">
        <v>856</v>
      </c>
    </row>
    <row customHeight="1" ht="11.25">
      <c r="A416" s="1850" t="s">
        <v>2246</v>
      </c>
      <c r="B416" s="1850" t="s">
        <v>16</v>
      </c>
      <c r="C416" s="1850" t="s">
        <v>3204</v>
      </c>
      <c r="D416" s="1850" t="s">
        <v>3205</v>
      </c>
      <c r="E416" s="1850" t="s">
        <v>3206</v>
      </c>
      <c r="F416" s="1850" t="s">
        <v>2744</v>
      </c>
      <c r="G416" s="1850" t="s">
        <v>22</v>
      </c>
      <c r="H416" s="1850" t="s">
        <v>22</v>
      </c>
      <c r="I416" s="1850" t="s">
        <v>856</v>
      </c>
    </row>
    <row customHeight="1" ht="11.25">
      <c r="A417" s="1850" t="s">
        <v>2246</v>
      </c>
      <c r="B417" s="1850" t="s">
        <v>16</v>
      </c>
      <c r="C417" s="1850" t="s">
        <v>2772</v>
      </c>
      <c r="D417" s="1850" t="s">
        <v>2773</v>
      </c>
      <c r="E417" s="1850" t="s">
        <v>2774</v>
      </c>
      <c r="F417" s="1850" t="s">
        <v>2492</v>
      </c>
      <c r="G417" s="1850" t="s">
        <v>22</v>
      </c>
      <c r="H417" s="1850" t="s">
        <v>22</v>
      </c>
      <c r="I417" s="1850" t="s">
        <v>856</v>
      </c>
    </row>
    <row customHeight="1" ht="11.25">
      <c r="A418" s="1850" t="s">
        <v>2246</v>
      </c>
      <c r="B418" s="1850" t="s">
        <v>16</v>
      </c>
      <c r="C418" s="1850" t="s">
        <v>2775</v>
      </c>
      <c r="D418" s="1850" t="s">
        <v>2776</v>
      </c>
      <c r="E418" s="1850" t="s">
        <v>2777</v>
      </c>
      <c r="F418" s="1850" t="s">
        <v>2361</v>
      </c>
      <c r="G418" s="1850" t="s">
        <v>22</v>
      </c>
      <c r="H418" s="1850" t="s">
        <v>22</v>
      </c>
      <c r="I418" s="1850" t="s">
        <v>856</v>
      </c>
    </row>
    <row customHeight="1" ht="11.25">
      <c r="A419" s="1850" t="s">
        <v>2246</v>
      </c>
      <c r="B419" s="1850" t="s">
        <v>16</v>
      </c>
      <c r="C419" s="1850" t="s">
        <v>2778</v>
      </c>
      <c r="D419" s="1850" t="s">
        <v>2779</v>
      </c>
      <c r="E419" s="1850" t="s">
        <v>2780</v>
      </c>
      <c r="F419" s="1850" t="s">
        <v>2492</v>
      </c>
      <c r="G419" s="1850" t="s">
        <v>22</v>
      </c>
      <c r="H419" s="1850" t="s">
        <v>22</v>
      </c>
      <c r="I419" s="1850" t="s">
        <v>856</v>
      </c>
    </row>
    <row customHeight="1" ht="11.25">
      <c r="A420" s="1850" t="s">
        <v>2246</v>
      </c>
      <c r="B420" s="1850" t="s">
        <v>16</v>
      </c>
      <c r="C420" s="1850" t="s">
        <v>2781</v>
      </c>
      <c r="D420" s="1850" t="s">
        <v>2782</v>
      </c>
      <c r="E420" s="1850" t="s">
        <v>2783</v>
      </c>
      <c r="F420" s="1850" t="s">
        <v>2345</v>
      </c>
      <c r="G420" s="1850" t="s">
        <v>22</v>
      </c>
      <c r="H420" s="1850" t="s">
        <v>22</v>
      </c>
      <c r="I420" s="1850" t="s">
        <v>856</v>
      </c>
    </row>
    <row customHeight="1" ht="11.25">
      <c r="A421" s="1850" t="s">
        <v>2246</v>
      </c>
      <c r="B421" s="1850" t="s">
        <v>16</v>
      </c>
      <c r="C421" s="1850" t="s">
        <v>2791</v>
      </c>
      <c r="D421" s="1850" t="s">
        <v>2792</v>
      </c>
      <c r="E421" s="1850" t="s">
        <v>2793</v>
      </c>
      <c r="F421" s="1850" t="s">
        <v>2345</v>
      </c>
      <c r="G421" s="1850" t="s">
        <v>22</v>
      </c>
      <c r="H421" s="1850" t="s">
        <v>22</v>
      </c>
      <c r="I421" s="1850" t="s">
        <v>856</v>
      </c>
    </row>
    <row customHeight="1" ht="11.25">
      <c r="A422" s="1850" t="s">
        <v>2246</v>
      </c>
      <c r="B422" s="1850" t="s">
        <v>16</v>
      </c>
      <c r="C422" s="1850" t="s">
        <v>2794</v>
      </c>
      <c r="D422" s="1850" t="s">
        <v>2795</v>
      </c>
      <c r="E422" s="1850" t="s">
        <v>2796</v>
      </c>
      <c r="F422" s="1850" t="s">
        <v>2361</v>
      </c>
      <c r="G422" s="1850" t="s">
        <v>2478</v>
      </c>
      <c r="H422" s="1850" t="s">
        <v>22</v>
      </c>
      <c r="I422" s="1850" t="s">
        <v>856</v>
      </c>
    </row>
    <row customHeight="1" ht="11.25">
      <c r="A423" s="1850" t="s">
        <v>2246</v>
      </c>
      <c r="B423" s="1850" t="s">
        <v>16</v>
      </c>
      <c r="C423" s="1850" t="s">
        <v>2800</v>
      </c>
      <c r="D423" s="1850" t="s">
        <v>2801</v>
      </c>
      <c r="E423" s="1850" t="s">
        <v>2802</v>
      </c>
      <c r="F423" s="1850" t="s">
        <v>2492</v>
      </c>
      <c r="G423" s="1850" t="s">
        <v>22</v>
      </c>
      <c r="H423" s="1850" t="s">
        <v>22</v>
      </c>
      <c r="I423" s="1850" t="s">
        <v>856</v>
      </c>
    </row>
    <row customHeight="1" ht="11.25">
      <c r="A424" s="1850" t="s">
        <v>2246</v>
      </c>
      <c r="B424" s="1850" t="s">
        <v>16</v>
      </c>
      <c r="C424" s="1850" t="s">
        <v>3207</v>
      </c>
      <c r="D424" s="1850" t="s">
        <v>3208</v>
      </c>
      <c r="E424" s="1850" t="s">
        <v>3209</v>
      </c>
      <c r="F424" s="1850" t="s">
        <v>2492</v>
      </c>
      <c r="G424" s="1850" t="s">
        <v>22</v>
      </c>
      <c r="H424" s="1850" t="s">
        <v>22</v>
      </c>
      <c r="I424" s="1850" t="s">
        <v>856</v>
      </c>
    </row>
    <row customHeight="1" ht="11.25">
      <c r="A425" s="1850" t="s">
        <v>2246</v>
      </c>
      <c r="B425" s="1850" t="s">
        <v>16</v>
      </c>
      <c r="C425" s="1850" t="s">
        <v>2803</v>
      </c>
      <c r="D425" s="1850" t="s">
        <v>2804</v>
      </c>
      <c r="E425" s="1850" t="s">
        <v>2805</v>
      </c>
      <c r="F425" s="1850" t="s">
        <v>2503</v>
      </c>
      <c r="G425" s="1850" t="s">
        <v>22</v>
      </c>
      <c r="H425" s="1850" t="s">
        <v>22</v>
      </c>
      <c r="I425" s="1850" t="s">
        <v>856</v>
      </c>
    </row>
    <row customHeight="1" ht="11.25">
      <c r="A426" s="1850" t="s">
        <v>2246</v>
      </c>
      <c r="B426" s="1850" t="s">
        <v>16</v>
      </c>
      <c r="C426" s="1850" t="s">
        <v>2815</v>
      </c>
      <c r="D426" s="1850" t="s">
        <v>2816</v>
      </c>
      <c r="E426" s="1850" t="s">
        <v>2817</v>
      </c>
      <c r="F426" s="1850" t="s">
        <v>2672</v>
      </c>
      <c r="G426" s="1850" t="s">
        <v>22</v>
      </c>
      <c r="H426" s="1850" t="s">
        <v>22</v>
      </c>
      <c r="I426" s="1850" t="s">
        <v>856</v>
      </c>
    </row>
    <row customHeight="1" ht="11.25">
      <c r="A427" s="1850" t="s">
        <v>2246</v>
      </c>
      <c r="B427" s="1850" t="s">
        <v>16</v>
      </c>
      <c r="C427" s="1850" t="s">
        <v>2824</v>
      </c>
      <c r="D427" s="1850" t="s">
        <v>2825</v>
      </c>
      <c r="E427" s="1850" t="s">
        <v>2826</v>
      </c>
      <c r="F427" s="1850" t="s">
        <v>2492</v>
      </c>
      <c r="G427" s="1850" t="s">
        <v>22</v>
      </c>
      <c r="H427" s="1850" t="s">
        <v>22</v>
      </c>
      <c r="I427" s="1850" t="s">
        <v>856</v>
      </c>
    </row>
    <row customHeight="1" ht="11.25">
      <c r="A428" s="1850" t="s">
        <v>2246</v>
      </c>
      <c r="B428" s="1850" t="s">
        <v>16</v>
      </c>
      <c r="C428" s="1850" t="s">
        <v>3210</v>
      </c>
      <c r="D428" s="1850" t="s">
        <v>3211</v>
      </c>
      <c r="E428" s="1850" t="s">
        <v>3212</v>
      </c>
      <c r="F428" s="1850" t="s">
        <v>2492</v>
      </c>
      <c r="G428" s="1850" t="s">
        <v>22</v>
      </c>
      <c r="H428" s="1850" t="s">
        <v>22</v>
      </c>
      <c r="I428" s="1850" t="s">
        <v>856</v>
      </c>
    </row>
    <row customHeight="1" ht="11.25">
      <c r="A429" s="1850" t="s">
        <v>2246</v>
      </c>
      <c r="B429" s="1850" t="s">
        <v>16</v>
      </c>
      <c r="C429" s="1850" t="s">
        <v>3213</v>
      </c>
      <c r="D429" s="1850" t="s">
        <v>3214</v>
      </c>
      <c r="E429" s="1850" t="s">
        <v>3215</v>
      </c>
      <c r="F429" s="1850" t="s">
        <v>2552</v>
      </c>
      <c r="G429" s="1850" t="s">
        <v>22</v>
      </c>
      <c r="H429" s="1850" t="s">
        <v>22</v>
      </c>
      <c r="I429" s="1850" t="s">
        <v>856</v>
      </c>
    </row>
    <row customHeight="1" ht="11.25">
      <c r="A430" s="1850" t="s">
        <v>2246</v>
      </c>
      <c r="B430" s="1850" t="s">
        <v>16</v>
      </c>
      <c r="C430" s="1850" t="s">
        <v>2830</v>
      </c>
      <c r="D430" s="1850" t="s">
        <v>2831</v>
      </c>
      <c r="E430" s="1850" t="s">
        <v>2832</v>
      </c>
      <c r="F430" s="1850" t="s">
        <v>2525</v>
      </c>
      <c r="G430" s="1850" t="s">
        <v>22</v>
      </c>
      <c r="H430" s="1850" t="s">
        <v>22</v>
      </c>
      <c r="I430" s="1850" t="s">
        <v>856</v>
      </c>
    </row>
    <row customHeight="1" ht="11.25">
      <c r="A431" s="1850" t="s">
        <v>2246</v>
      </c>
      <c r="B431" s="1850" t="s">
        <v>16</v>
      </c>
      <c r="C431" s="1850" t="s">
        <v>2836</v>
      </c>
      <c r="D431" s="1850" t="s">
        <v>2837</v>
      </c>
      <c r="E431" s="1850" t="s">
        <v>2838</v>
      </c>
      <c r="F431" s="1850" t="s">
        <v>2353</v>
      </c>
      <c r="G431" s="1850" t="s">
        <v>22</v>
      </c>
      <c r="H431" s="1850" t="s">
        <v>22</v>
      </c>
      <c r="I431" s="1850" t="s">
        <v>856</v>
      </c>
    </row>
    <row customHeight="1" ht="11.25">
      <c r="A432" s="1850" t="s">
        <v>2246</v>
      </c>
      <c r="B432" s="1850" t="s">
        <v>16</v>
      </c>
      <c r="C432" s="1850" t="s">
        <v>2839</v>
      </c>
      <c r="D432" s="1850" t="s">
        <v>2840</v>
      </c>
      <c r="E432" s="1850" t="s">
        <v>2841</v>
      </c>
      <c r="F432" s="1850" t="s">
        <v>2298</v>
      </c>
      <c r="G432" s="1850" t="s">
        <v>2842</v>
      </c>
      <c r="H432" s="1850" t="s">
        <v>22</v>
      </c>
      <c r="I432" s="1850" t="s">
        <v>856</v>
      </c>
    </row>
    <row customHeight="1" ht="11.25">
      <c r="A433" s="1850" t="s">
        <v>2246</v>
      </c>
      <c r="B433" s="1850" t="s">
        <v>16</v>
      </c>
      <c r="C433" s="1850" t="s">
        <v>3216</v>
      </c>
      <c r="D433" s="1850" t="s">
        <v>3217</v>
      </c>
      <c r="E433" s="1850" t="s">
        <v>3218</v>
      </c>
      <c r="F433" s="1850" t="s">
        <v>2503</v>
      </c>
      <c r="G433" s="1850" t="s">
        <v>22</v>
      </c>
      <c r="H433" s="1850" t="s">
        <v>22</v>
      </c>
      <c r="I433" s="1850" t="s">
        <v>856</v>
      </c>
    </row>
    <row customHeight="1" ht="11.25">
      <c r="A434" s="1850" t="s">
        <v>2246</v>
      </c>
      <c r="B434" s="1850" t="s">
        <v>16</v>
      </c>
      <c r="C434" s="1850" t="s">
        <v>2843</v>
      </c>
      <c r="D434" s="1850" t="s">
        <v>2844</v>
      </c>
      <c r="E434" s="1850" t="s">
        <v>2845</v>
      </c>
      <c r="F434" s="1850" t="s">
        <v>2361</v>
      </c>
      <c r="G434" s="1850" t="s">
        <v>22</v>
      </c>
      <c r="H434" s="1850" t="s">
        <v>22</v>
      </c>
      <c r="I434" s="1850" t="s">
        <v>856</v>
      </c>
    </row>
    <row customHeight="1" ht="11.25">
      <c r="A435" s="1850" t="s">
        <v>2246</v>
      </c>
      <c r="B435" s="1850" t="s">
        <v>16</v>
      </c>
      <c r="C435" s="1850" t="s">
        <v>2846</v>
      </c>
      <c r="D435" s="1850" t="s">
        <v>2847</v>
      </c>
      <c r="E435" s="1850" t="s">
        <v>2848</v>
      </c>
      <c r="F435" s="1850" t="s">
        <v>2313</v>
      </c>
      <c r="G435" s="1850" t="s">
        <v>22</v>
      </c>
      <c r="H435" s="1850" t="s">
        <v>22</v>
      </c>
      <c r="I435" s="1850" t="s">
        <v>856</v>
      </c>
    </row>
    <row customHeight="1" ht="11.25">
      <c r="A436" s="1850" t="s">
        <v>2246</v>
      </c>
      <c r="B436" s="1850" t="s">
        <v>16</v>
      </c>
      <c r="C436" s="1850" t="s">
        <v>2852</v>
      </c>
      <c r="D436" s="1850" t="s">
        <v>2853</v>
      </c>
      <c r="E436" s="1850" t="s">
        <v>2854</v>
      </c>
      <c r="F436" s="1850" t="s">
        <v>2593</v>
      </c>
      <c r="G436" s="1850" t="s">
        <v>22</v>
      </c>
      <c r="H436" s="1850" t="s">
        <v>22</v>
      </c>
      <c r="I436" s="1850" t="s">
        <v>856</v>
      </c>
    </row>
    <row customHeight="1" ht="11.25">
      <c r="A437" s="1850" t="s">
        <v>2246</v>
      </c>
      <c r="B437" s="1850" t="s">
        <v>16</v>
      </c>
      <c r="C437" s="1850" t="s">
        <v>2873</v>
      </c>
      <c r="D437" s="1850" t="s">
        <v>2874</v>
      </c>
      <c r="E437" s="1850" t="s">
        <v>2875</v>
      </c>
      <c r="F437" s="1850" t="s">
        <v>2250</v>
      </c>
      <c r="G437" s="1850" t="s">
        <v>22</v>
      </c>
      <c r="H437" s="1850" t="s">
        <v>22</v>
      </c>
      <c r="I437" s="1850" t="s">
        <v>856</v>
      </c>
    </row>
    <row customHeight="1" ht="11.25">
      <c r="A438" s="1850" t="s">
        <v>2246</v>
      </c>
      <c r="B438" s="1850" t="s">
        <v>16</v>
      </c>
      <c r="C438" s="1850" t="s">
        <v>2882</v>
      </c>
      <c r="D438" s="1850" t="s">
        <v>2880</v>
      </c>
      <c r="E438" s="1850" t="s">
        <v>2883</v>
      </c>
      <c r="F438" s="1850" t="s">
        <v>2492</v>
      </c>
      <c r="G438" s="1850" t="s">
        <v>2884</v>
      </c>
      <c r="H438" s="1850" t="s">
        <v>22</v>
      </c>
      <c r="I438" s="1850" t="s">
        <v>856</v>
      </c>
    </row>
    <row customHeight="1" ht="11.25">
      <c r="A439" s="1850" t="s">
        <v>2246</v>
      </c>
      <c r="B439" s="1850" t="s">
        <v>16</v>
      </c>
      <c r="C439" s="1850" t="s">
        <v>2888</v>
      </c>
      <c r="D439" s="1850" t="s">
        <v>2889</v>
      </c>
      <c r="E439" s="1850" t="s">
        <v>2890</v>
      </c>
      <c r="F439" s="1850" t="s">
        <v>2452</v>
      </c>
      <c r="G439" s="1850" t="s">
        <v>22</v>
      </c>
      <c r="H439" s="1850" t="s">
        <v>22</v>
      </c>
      <c r="I439" s="1850" t="s">
        <v>856</v>
      </c>
    </row>
    <row customHeight="1" ht="11.25">
      <c r="A440" s="1850" t="s">
        <v>2246</v>
      </c>
      <c r="B440" s="1850" t="s">
        <v>16</v>
      </c>
      <c r="C440" s="1850" t="s">
        <v>2934</v>
      </c>
      <c r="D440" s="1850" t="s">
        <v>2935</v>
      </c>
      <c r="E440" s="1850" t="s">
        <v>2936</v>
      </c>
      <c r="F440" s="1850" t="s">
        <v>2331</v>
      </c>
      <c r="G440" s="1850" t="s">
        <v>22</v>
      </c>
      <c r="H440" s="1850" t="s">
        <v>22</v>
      </c>
      <c r="I440" s="1850" t="s">
        <v>856</v>
      </c>
    </row>
    <row customHeight="1" ht="11.25">
      <c r="A441" s="1850" t="s">
        <v>2246</v>
      </c>
      <c r="B441" s="1850" t="s">
        <v>16</v>
      </c>
      <c r="C441" s="1850" t="s">
        <v>3219</v>
      </c>
      <c r="D441" s="1850" t="s">
        <v>3220</v>
      </c>
      <c r="E441" s="1850" t="s">
        <v>3221</v>
      </c>
      <c r="F441" s="1850" t="s">
        <v>2331</v>
      </c>
      <c r="G441" s="1850" t="s">
        <v>22</v>
      </c>
      <c r="H441" s="1850" t="s">
        <v>22</v>
      </c>
      <c r="I441" s="1850" t="s">
        <v>856</v>
      </c>
    </row>
    <row customHeight="1" ht="11.25">
      <c r="A442" s="1850" t="s">
        <v>2246</v>
      </c>
      <c r="B442" s="1850" t="s">
        <v>16</v>
      </c>
      <c r="C442" s="1850" t="s">
        <v>2937</v>
      </c>
      <c r="D442" s="1850" t="s">
        <v>2938</v>
      </c>
      <c r="E442" s="1850" t="s">
        <v>2939</v>
      </c>
      <c r="F442" s="1850" t="s">
        <v>2331</v>
      </c>
      <c r="G442" s="1850" t="s">
        <v>22</v>
      </c>
      <c r="H442" s="1850" t="s">
        <v>22</v>
      </c>
      <c r="I442" s="1850" t="s">
        <v>856</v>
      </c>
    </row>
    <row customHeight="1" ht="11.25">
      <c r="A443" s="1850" t="s">
        <v>2246</v>
      </c>
      <c r="B443" s="1850" t="s">
        <v>16</v>
      </c>
      <c r="C443" s="1850" t="s">
        <v>3222</v>
      </c>
      <c r="D443" s="1850" t="s">
        <v>3223</v>
      </c>
      <c r="E443" s="1850" t="s">
        <v>3224</v>
      </c>
      <c r="F443" s="1850" t="s">
        <v>2298</v>
      </c>
      <c r="G443" s="1850" t="s">
        <v>3225</v>
      </c>
      <c r="H443" s="1850" t="s">
        <v>22</v>
      </c>
      <c r="I443" s="1850" t="s">
        <v>856</v>
      </c>
    </row>
    <row customHeight="1" ht="11.25">
      <c r="A444" s="1850" t="s">
        <v>2246</v>
      </c>
      <c r="B444" s="1850" t="s">
        <v>16</v>
      </c>
      <c r="C444" s="1850" t="s">
        <v>2946</v>
      </c>
      <c r="D444" s="1850" t="s">
        <v>2947</v>
      </c>
      <c r="E444" s="1850" t="s">
        <v>2948</v>
      </c>
      <c r="F444" s="1850" t="s">
        <v>2492</v>
      </c>
      <c r="G444" s="1850" t="s">
        <v>2949</v>
      </c>
      <c r="H444" s="1850" t="s">
        <v>22</v>
      </c>
      <c r="I444" s="1850" t="s">
        <v>856</v>
      </c>
    </row>
    <row customHeight="1" ht="11.25">
      <c r="A445" s="1850" t="s">
        <v>2246</v>
      </c>
      <c r="B445" s="1850" t="s">
        <v>16</v>
      </c>
      <c r="C445" s="1850" t="s">
        <v>2950</v>
      </c>
      <c r="D445" s="1850" t="s">
        <v>2951</v>
      </c>
      <c r="E445" s="1850" t="s">
        <v>2952</v>
      </c>
      <c r="F445" s="1850" t="s">
        <v>2353</v>
      </c>
      <c r="G445" s="1850" t="s">
        <v>22</v>
      </c>
      <c r="H445" s="1850" t="s">
        <v>22</v>
      </c>
      <c r="I445" s="1850" t="s">
        <v>856</v>
      </c>
    </row>
    <row customHeight="1" ht="11.25">
      <c r="A446" s="1850" t="s">
        <v>2246</v>
      </c>
      <c r="B446" s="1850" t="s">
        <v>16</v>
      </c>
      <c r="C446" s="1850" t="s">
        <v>2957</v>
      </c>
      <c r="D446" s="1850" t="s">
        <v>2958</v>
      </c>
      <c r="E446" s="1850" t="s">
        <v>2959</v>
      </c>
      <c r="F446" s="1850" t="s">
        <v>2345</v>
      </c>
      <c r="G446" s="1850" t="s">
        <v>22</v>
      </c>
      <c r="H446" s="1850" t="s">
        <v>22</v>
      </c>
      <c r="I446" s="1850" t="s">
        <v>856</v>
      </c>
    </row>
    <row customHeight="1" ht="11.25">
      <c r="A447" s="1850" t="s">
        <v>2246</v>
      </c>
      <c r="B447" s="1850" t="s">
        <v>16</v>
      </c>
      <c r="C447" s="1850" t="s">
        <v>2960</v>
      </c>
      <c r="D447" s="1850" t="s">
        <v>2961</v>
      </c>
      <c r="E447" s="1850" t="s">
        <v>2962</v>
      </c>
      <c r="F447" s="1850" t="s">
        <v>2345</v>
      </c>
      <c r="G447" s="1850" t="s">
        <v>22</v>
      </c>
      <c r="H447" s="1850" t="s">
        <v>22</v>
      </c>
      <c r="I447" s="1850" t="s">
        <v>856</v>
      </c>
    </row>
    <row customHeight="1" ht="11.25">
      <c r="A448" s="1850" t="s">
        <v>2246</v>
      </c>
      <c r="B448" s="1850" t="s">
        <v>16</v>
      </c>
      <c r="C448" s="1850" t="s">
        <v>3226</v>
      </c>
      <c r="D448" s="1850" t="s">
        <v>3227</v>
      </c>
      <c r="E448" s="1850" t="s">
        <v>3228</v>
      </c>
      <c r="F448" s="1850" t="s">
        <v>2482</v>
      </c>
      <c r="G448" s="1850" t="s">
        <v>22</v>
      </c>
      <c r="H448" s="1850" t="s">
        <v>22</v>
      </c>
      <c r="I448" s="1850" t="s">
        <v>856</v>
      </c>
    </row>
    <row customHeight="1" ht="11.25">
      <c r="A449" s="1850" t="s">
        <v>2246</v>
      </c>
      <c r="B449" s="1850" t="s">
        <v>16</v>
      </c>
      <c r="C449" s="1850" t="s">
        <v>3080</v>
      </c>
      <c r="D449" s="1850" t="s">
        <v>3081</v>
      </c>
      <c r="E449" s="1850" t="s">
        <v>3082</v>
      </c>
      <c r="F449" s="1850" t="s">
        <v>3083</v>
      </c>
      <c r="G449" s="1850" t="s">
        <v>22</v>
      </c>
      <c r="H449" s="1850" t="s">
        <v>22</v>
      </c>
      <c r="I449" s="1850" t="s">
        <v>856</v>
      </c>
    </row>
    <row customHeight="1" ht="11.25">
      <c r="A450" s="1850" t="s">
        <v>2246</v>
      </c>
      <c r="B450" s="1850" t="s">
        <v>16</v>
      </c>
      <c r="C450" s="1850" t="s">
        <v>2984</v>
      </c>
      <c r="D450" s="1850" t="s">
        <v>2985</v>
      </c>
      <c r="E450" s="1850" t="s">
        <v>2986</v>
      </c>
      <c r="F450" s="1850" t="s">
        <v>2525</v>
      </c>
      <c r="G450" s="1850" t="s">
        <v>2987</v>
      </c>
      <c r="H450" s="1850" t="s">
        <v>22</v>
      </c>
      <c r="I450" s="1850" t="s">
        <v>856</v>
      </c>
    </row>
    <row customHeight="1" ht="11.25">
      <c r="A451" s="1850" t="s">
        <v>2246</v>
      </c>
      <c r="B451" s="1850" t="s">
        <v>16</v>
      </c>
      <c r="C451" s="1850" t="s">
        <v>3229</v>
      </c>
      <c r="D451" s="1850" t="s">
        <v>3230</v>
      </c>
      <c r="E451" s="1850" t="s">
        <v>3231</v>
      </c>
      <c r="F451" s="1850" t="s">
        <v>2331</v>
      </c>
      <c r="G451" s="1850" t="s">
        <v>22</v>
      </c>
      <c r="H451" s="1850" t="s">
        <v>22</v>
      </c>
      <c r="I451" s="1850" t="s">
        <v>856</v>
      </c>
    </row>
    <row customHeight="1" ht="11.25">
      <c r="A452" s="1850" t="s">
        <v>2246</v>
      </c>
      <c r="B452" s="1850" t="s">
        <v>16</v>
      </c>
      <c r="C452" s="1850" t="s">
        <v>3010</v>
      </c>
      <c r="D452" s="1850" t="s">
        <v>3011</v>
      </c>
      <c r="E452" s="1850" t="s">
        <v>3012</v>
      </c>
      <c r="F452" s="1850" t="s">
        <v>2492</v>
      </c>
      <c r="G452" s="1850" t="s">
        <v>22</v>
      </c>
      <c r="H452" s="1850" t="s">
        <v>22</v>
      </c>
      <c r="I452" s="1850" t="s">
        <v>856</v>
      </c>
    </row>
    <row customHeight="1" ht="11.25">
      <c r="A453" s="1850" t="s">
        <v>2246</v>
      </c>
      <c r="B453" s="1850" t="s">
        <v>16</v>
      </c>
      <c r="C453" s="1850" t="s">
        <v>13</v>
      </c>
      <c r="D453" s="1850" t="s">
        <v>46</v>
      </c>
      <c r="E453" s="1850" t="s">
        <v>49</v>
      </c>
      <c r="F453" s="1850" t="s">
        <v>51</v>
      </c>
      <c r="G453" s="1850" t="s">
        <v>22</v>
      </c>
      <c r="H453" s="1850" t="s">
        <v>22</v>
      </c>
      <c r="I453" s="1850" t="s">
        <v>856</v>
      </c>
    </row>
    <row customHeight="1" ht="11.25">
      <c r="A454" s="1850" t="s">
        <v>2246</v>
      </c>
      <c r="B454" s="1850" t="s">
        <v>16</v>
      </c>
      <c r="C454" s="1850" t="s">
        <v>3016</v>
      </c>
      <c r="D454" s="1850" t="s">
        <v>3017</v>
      </c>
      <c r="E454" s="1850" t="s">
        <v>3018</v>
      </c>
      <c r="F454" s="1850" t="s">
        <v>2306</v>
      </c>
      <c r="G454" s="1850" t="s">
        <v>22</v>
      </c>
      <c r="H454" s="1850" t="s">
        <v>22</v>
      </c>
      <c r="I454" s="1850" t="s">
        <v>856</v>
      </c>
    </row>
    <row customHeight="1" ht="11.25">
      <c r="A455" s="1850" t="s">
        <v>2246</v>
      </c>
      <c r="B455" s="1850" t="s">
        <v>16</v>
      </c>
      <c r="C455" s="1850" t="s">
        <v>3019</v>
      </c>
      <c r="D455" s="1850" t="s">
        <v>3020</v>
      </c>
      <c r="E455" s="1850" t="s">
        <v>3021</v>
      </c>
      <c r="F455" s="1850" t="s">
        <v>2395</v>
      </c>
      <c r="G455" s="1850" t="s">
        <v>22</v>
      </c>
      <c r="H455" s="1850" t="s">
        <v>22</v>
      </c>
      <c r="I455" s="1850" t="s">
        <v>856</v>
      </c>
    </row>
    <row customHeight="1" ht="11.25">
      <c r="A456" s="1850" t="s">
        <v>2246</v>
      </c>
      <c r="B456" s="1850" t="s">
        <v>16</v>
      </c>
      <c r="C456" s="1850" t="s">
        <v>3022</v>
      </c>
      <c r="D456" s="1850" t="s">
        <v>3020</v>
      </c>
      <c r="E456" s="1850" t="s">
        <v>3021</v>
      </c>
      <c r="F456" s="1850" t="s">
        <v>3023</v>
      </c>
      <c r="G456" s="1850" t="s">
        <v>22</v>
      </c>
      <c r="H456" s="1850" t="s">
        <v>22</v>
      </c>
      <c r="I456" s="1850" t="s">
        <v>856</v>
      </c>
    </row>
    <row customHeight="1" ht="11.25">
      <c r="A457" s="1850" t="s">
        <v>2246</v>
      </c>
      <c r="B457" s="1850" t="s">
        <v>16</v>
      </c>
      <c r="C457" s="1850" t="s">
        <v>3232</v>
      </c>
      <c r="D457" s="1850" t="s">
        <v>3233</v>
      </c>
      <c r="E457" s="1850" t="s">
        <v>3234</v>
      </c>
      <c r="F457" s="1850" t="s">
        <v>2250</v>
      </c>
      <c r="G457" s="1850" t="s">
        <v>22</v>
      </c>
      <c r="H457" s="1850" t="s">
        <v>22</v>
      </c>
      <c r="I457" s="1850" t="s">
        <v>856</v>
      </c>
    </row>
    <row customHeight="1" ht="11.25">
      <c r="A458" s="1850" t="s">
        <v>2246</v>
      </c>
      <c r="B458" s="1850" t="s">
        <v>16</v>
      </c>
      <c r="C458" s="1850" t="s">
        <v>3235</v>
      </c>
      <c r="D458" s="1850" t="s">
        <v>3236</v>
      </c>
      <c r="E458" s="1850" t="s">
        <v>3237</v>
      </c>
      <c r="F458" s="1850" t="s">
        <v>2452</v>
      </c>
      <c r="G458" s="1850" t="s">
        <v>22</v>
      </c>
      <c r="H458" s="1850" t="s">
        <v>22</v>
      </c>
      <c r="I458" s="1850" t="s">
        <v>856</v>
      </c>
    </row>
    <row customHeight="1" ht="11.25">
      <c r="A459" s="1850" t="s">
        <v>2246</v>
      </c>
      <c r="B459" s="1850" t="s">
        <v>16</v>
      </c>
      <c r="C459" s="1850" t="s">
        <v>3238</v>
      </c>
      <c r="D459" s="1850" t="s">
        <v>3239</v>
      </c>
      <c r="E459" s="1850" t="s">
        <v>3240</v>
      </c>
      <c r="F459" s="1850" t="s">
        <v>2499</v>
      </c>
      <c r="G459" s="1850" t="s">
        <v>22</v>
      </c>
      <c r="H459" s="1850" t="s">
        <v>22</v>
      </c>
      <c r="I459" s="1850" t="s">
        <v>856</v>
      </c>
    </row>
    <row customHeight="1" ht="11.25">
      <c r="A460" s="1850" t="s">
        <v>2246</v>
      </c>
      <c r="B460" s="1850" t="s">
        <v>16</v>
      </c>
      <c r="C460" s="1850" t="s">
        <v>3241</v>
      </c>
      <c r="D460" s="1850" t="s">
        <v>3242</v>
      </c>
      <c r="E460" s="1850" t="s">
        <v>3243</v>
      </c>
      <c r="F460" s="1850" t="s">
        <v>2552</v>
      </c>
      <c r="G460" s="1850" t="s">
        <v>22</v>
      </c>
      <c r="H460" s="1850" t="s">
        <v>22</v>
      </c>
      <c r="I460" s="1850" t="s">
        <v>856</v>
      </c>
    </row>
    <row customHeight="1" ht="11.25">
      <c r="A461" s="1850" t="s">
        <v>2246</v>
      </c>
      <c r="B461" s="1850" t="s">
        <v>16</v>
      </c>
      <c r="C461" s="1850" t="s">
        <v>3244</v>
      </c>
      <c r="D461" s="1850" t="s">
        <v>3245</v>
      </c>
      <c r="E461" s="1850" t="s">
        <v>3246</v>
      </c>
      <c r="F461" s="1850" t="s">
        <v>2672</v>
      </c>
      <c r="G461" s="1850" t="s">
        <v>22</v>
      </c>
      <c r="H461" s="1850" t="s">
        <v>22</v>
      </c>
      <c r="I461" s="1850" t="s">
        <v>856</v>
      </c>
    </row>
    <row customHeight="1" ht="11.25">
      <c r="A462" s="1850" t="s">
        <v>2246</v>
      </c>
      <c r="B462" s="1850" t="s">
        <v>16</v>
      </c>
      <c r="C462" s="1850" t="s">
        <v>3247</v>
      </c>
      <c r="D462" s="1850" t="s">
        <v>3248</v>
      </c>
      <c r="E462" s="1850" t="s">
        <v>3249</v>
      </c>
      <c r="F462" s="1850" t="s">
        <v>3250</v>
      </c>
      <c r="G462" s="1850" t="s">
        <v>22</v>
      </c>
      <c r="H462" s="1850" t="s">
        <v>22</v>
      </c>
      <c r="I462" s="1850" t="s">
        <v>856</v>
      </c>
    </row>
    <row customHeight="1" ht="11.25">
      <c r="A463" s="1850" t="s">
        <v>2246</v>
      </c>
      <c r="B463" s="1850" t="s">
        <v>16</v>
      </c>
      <c r="C463" s="1850" t="s">
        <v>3251</v>
      </c>
      <c r="D463" s="1850" t="s">
        <v>3252</v>
      </c>
      <c r="E463" s="1850" t="s">
        <v>3253</v>
      </c>
      <c r="F463" s="1850" t="s">
        <v>2452</v>
      </c>
      <c r="G463" s="1850" t="s">
        <v>22</v>
      </c>
      <c r="H463" s="1850" t="s">
        <v>22</v>
      </c>
      <c r="I463" s="1850" t="s">
        <v>856</v>
      </c>
    </row>
    <row customHeight="1" ht="11.25">
      <c r="A464" s="1850" t="s">
        <v>2246</v>
      </c>
      <c r="B464" s="1850" t="s">
        <v>16</v>
      </c>
      <c r="C464" s="1850" t="s">
        <v>3254</v>
      </c>
      <c r="D464" s="1850" t="s">
        <v>3255</v>
      </c>
      <c r="E464" s="1850" t="s">
        <v>3256</v>
      </c>
      <c r="F464" s="1850" t="s">
        <v>2298</v>
      </c>
      <c r="G464" s="1850" t="s">
        <v>22</v>
      </c>
      <c r="H464" s="1850" t="s">
        <v>22</v>
      </c>
      <c r="I464" s="1850" t="s">
        <v>856</v>
      </c>
    </row>
    <row customHeight="1" ht="11.25">
      <c r="A465" s="1850" t="s">
        <v>2246</v>
      </c>
      <c r="B465" s="1850" t="s">
        <v>16</v>
      </c>
      <c r="C465" s="1850" t="s">
        <v>3031</v>
      </c>
      <c r="D465" s="1850" t="s">
        <v>3032</v>
      </c>
      <c r="E465" s="1850" t="s">
        <v>3033</v>
      </c>
      <c r="F465" s="1850" t="s">
        <v>2298</v>
      </c>
      <c r="G465" s="1850" t="s">
        <v>22</v>
      </c>
      <c r="H465" s="1850" t="s">
        <v>22</v>
      </c>
      <c r="I465" s="1850" t="s">
        <v>856</v>
      </c>
    </row>
    <row customHeight="1" ht="11.25">
      <c r="A466" s="1850" t="s">
        <v>2246</v>
      </c>
      <c r="B466" s="1850" t="s">
        <v>16</v>
      </c>
      <c r="C466" s="1850" t="s">
        <v>3037</v>
      </c>
      <c r="D466" s="1850" t="s">
        <v>3038</v>
      </c>
      <c r="E466" s="1850" t="s">
        <v>2386</v>
      </c>
      <c r="F466" s="1850" t="s">
        <v>3039</v>
      </c>
      <c r="G466" s="1850" t="s">
        <v>22</v>
      </c>
      <c r="H466" s="1850" t="s">
        <v>22</v>
      </c>
      <c r="I466" s="1850" t="s">
        <v>856</v>
      </c>
    </row>
    <row customHeight="1" ht="11.25">
      <c r="A467" s="1850" t="s">
        <v>2246</v>
      </c>
      <c r="B467" s="1850" t="s">
        <v>16</v>
      </c>
      <c r="C467" s="1850" t="s">
        <v>3040</v>
      </c>
      <c r="D467" s="1850" t="s">
        <v>3041</v>
      </c>
      <c r="E467" s="1850" t="s">
        <v>3042</v>
      </c>
      <c r="F467" s="1850" t="s">
        <v>3043</v>
      </c>
      <c r="G467" s="1850" t="s">
        <v>3044</v>
      </c>
      <c r="H467" s="1850" t="s">
        <v>22</v>
      </c>
      <c r="I467" s="1850" t="s">
        <v>856</v>
      </c>
    </row>
    <row customHeight="1" ht="11.25">
      <c r="A468" s="1850" t="s">
        <v>2246</v>
      </c>
      <c r="B468" s="1850" t="s">
        <v>16</v>
      </c>
      <c r="C468" s="1850" t="s">
        <v>3050</v>
      </c>
      <c r="D468" s="1850" t="s">
        <v>3051</v>
      </c>
      <c r="E468" s="1850" t="s">
        <v>3052</v>
      </c>
      <c r="F468" s="1850" t="s">
        <v>3053</v>
      </c>
      <c r="G468" s="1850" t="s">
        <v>22</v>
      </c>
      <c r="H468" s="1850" t="s">
        <v>22</v>
      </c>
      <c r="I468" s="1850" t="s">
        <v>856</v>
      </c>
    </row>
    <row customHeight="1" ht="11.25">
      <c r="A469" s="1850" t="s">
        <v>2246</v>
      </c>
      <c r="B469" s="1850" t="s">
        <v>16</v>
      </c>
      <c r="C469" s="1850" t="s">
        <v>3054</v>
      </c>
      <c r="D469" s="1850" t="s">
        <v>3055</v>
      </c>
      <c r="E469" s="1850" t="s">
        <v>3052</v>
      </c>
      <c r="F469" s="1850" t="s">
        <v>3056</v>
      </c>
      <c r="G469" s="1850" t="s">
        <v>22</v>
      </c>
      <c r="H469" s="1850" t="s">
        <v>22</v>
      </c>
      <c r="I469" s="1850" t="s">
        <v>856</v>
      </c>
    </row>
    <row customHeight="1" ht="11.25">
      <c r="A470" s="1850" t="s">
        <v>2246</v>
      </c>
      <c r="B470" s="1850" t="s">
        <v>16</v>
      </c>
      <c r="C470" s="1850" t="s">
        <v>3057</v>
      </c>
      <c r="D470" s="1850" t="s">
        <v>3058</v>
      </c>
      <c r="E470" s="1850" t="s">
        <v>3059</v>
      </c>
      <c r="F470" s="1850" t="s">
        <v>2313</v>
      </c>
      <c r="G470" s="1850" t="s">
        <v>22</v>
      </c>
      <c r="H470" s="1850" t="s">
        <v>22</v>
      </c>
      <c r="I470" s="1850" t="s">
        <v>856</v>
      </c>
    </row>
    <row customHeight="1" ht="11.25">
      <c r="A471" s="1850" t="s">
        <v>2246</v>
      </c>
      <c r="B471" s="1850" t="s">
        <v>16</v>
      </c>
      <c r="C471" s="1850" t="s">
        <v>3065</v>
      </c>
      <c r="D471" s="1850" t="s">
        <v>3066</v>
      </c>
      <c r="E471" s="1850" t="s">
        <v>3067</v>
      </c>
      <c r="F471" s="1850" t="s">
        <v>2402</v>
      </c>
      <c r="G471" s="1850" t="s">
        <v>22</v>
      </c>
      <c r="H471" s="1850" t="s">
        <v>22</v>
      </c>
      <c r="I471" s="1850" t="s">
        <v>856</v>
      </c>
    </row>
    <row customHeight="1" ht="11.25">
      <c r="A472" s="1850" t="s">
        <v>2246</v>
      </c>
      <c r="B472" s="1850" t="s">
        <v>16</v>
      </c>
      <c r="C472" s="1850" t="s">
        <v>3068</v>
      </c>
      <c r="D472" s="1850" t="s">
        <v>3069</v>
      </c>
      <c r="E472" s="1850" t="s">
        <v>3070</v>
      </c>
      <c r="F472" s="1850" t="s">
        <v>2790</v>
      </c>
      <c r="G472" s="1850" t="s">
        <v>3071</v>
      </c>
      <c r="H472" s="1850" t="s">
        <v>22</v>
      </c>
      <c r="I472" s="1850" t="s">
        <v>856</v>
      </c>
    </row>
    <row customHeight="1" ht="11.25">
      <c r="A473" s="1850" t="s">
        <v>2246</v>
      </c>
      <c r="B473" s="1850" t="s">
        <v>16</v>
      </c>
      <c r="C473" s="1850" t="s">
        <v>3257</v>
      </c>
      <c r="D473" s="1850" t="s">
        <v>3258</v>
      </c>
      <c r="E473" s="1850" t="s">
        <v>3259</v>
      </c>
      <c r="F473" s="1850" t="s">
        <v>2790</v>
      </c>
      <c r="G473" s="1850" t="s">
        <v>22</v>
      </c>
      <c r="H473" s="1850" t="s">
        <v>22</v>
      </c>
      <c r="I473" s="1850" t="s">
        <v>856</v>
      </c>
    </row>
    <row customHeight="1" ht="11.25">
      <c r="A474" s="1850" t="s">
        <v>2246</v>
      </c>
      <c r="B474" s="1850" t="s">
        <v>16</v>
      </c>
      <c r="C474" s="1850" t="s">
        <v>2258</v>
      </c>
      <c r="D474" s="1850" t="s">
        <v>2259</v>
      </c>
      <c r="E474" s="1850" t="s">
        <v>2260</v>
      </c>
      <c r="F474" s="1850" t="s">
        <v>2261</v>
      </c>
      <c r="G474" s="1850" t="s">
        <v>2262</v>
      </c>
      <c r="H474" s="1850" t="s">
        <v>22</v>
      </c>
      <c r="I474" s="1850" t="s">
        <v>909</v>
      </c>
    </row>
    <row customHeight="1" ht="11.25">
      <c r="A475" s="1850" t="s">
        <v>2246</v>
      </c>
      <c r="B475" s="1850" t="s">
        <v>16</v>
      </c>
      <c r="C475" s="1850" t="s">
        <v>3084</v>
      </c>
      <c r="D475" s="1850" t="s">
        <v>3085</v>
      </c>
      <c r="E475" s="1850" t="s">
        <v>3086</v>
      </c>
      <c r="F475" s="1850" t="s">
        <v>2548</v>
      </c>
      <c r="G475" s="1850" t="s">
        <v>22</v>
      </c>
      <c r="H475" s="1850" t="s">
        <v>22</v>
      </c>
      <c r="I475" s="1850" t="s">
        <v>909</v>
      </c>
    </row>
    <row customHeight="1" ht="11.25">
      <c r="A476" s="1850" t="s">
        <v>2246</v>
      </c>
      <c r="B476" s="1850" t="s">
        <v>16</v>
      </c>
      <c r="C476" s="1850" t="s">
        <v>2288</v>
      </c>
      <c r="D476" s="1850" t="s">
        <v>2289</v>
      </c>
      <c r="E476" s="1850" t="s">
        <v>2290</v>
      </c>
      <c r="F476" s="1850" t="s">
        <v>2291</v>
      </c>
      <c r="G476" s="1850" t="s">
        <v>22</v>
      </c>
      <c r="H476" s="1850" t="s">
        <v>22</v>
      </c>
      <c r="I476" s="1850" t="s">
        <v>909</v>
      </c>
    </row>
    <row customHeight="1" ht="11.25">
      <c r="A477" s="1850" t="s">
        <v>2246</v>
      </c>
      <c r="B477" s="1850" t="s">
        <v>16</v>
      </c>
      <c r="C477" s="1850" t="s">
        <v>2295</v>
      </c>
      <c r="D477" s="1850" t="s">
        <v>2296</v>
      </c>
      <c r="E477" s="1850" t="s">
        <v>2297</v>
      </c>
      <c r="F477" s="1850" t="s">
        <v>2298</v>
      </c>
      <c r="G477" s="1850" t="s">
        <v>2299</v>
      </c>
      <c r="H477" s="1850" t="s">
        <v>22</v>
      </c>
      <c r="I477" s="1850" t="s">
        <v>909</v>
      </c>
    </row>
    <row customHeight="1" ht="11.25">
      <c r="A478" s="1850" t="s">
        <v>2246</v>
      </c>
      <c r="B478" s="1850" t="s">
        <v>16</v>
      </c>
      <c r="C478" s="1850" t="s">
        <v>2315</v>
      </c>
      <c r="D478" s="1850" t="s">
        <v>2316</v>
      </c>
      <c r="E478" s="1850" t="s">
        <v>2317</v>
      </c>
      <c r="F478" s="1850" t="s">
        <v>2313</v>
      </c>
      <c r="G478" s="1850" t="s">
        <v>22</v>
      </c>
      <c r="H478" s="1850" t="s">
        <v>22</v>
      </c>
      <c r="I478" s="1850" t="s">
        <v>909</v>
      </c>
    </row>
    <row customHeight="1" ht="11.25">
      <c r="A479" s="1850" t="s">
        <v>2246</v>
      </c>
      <c r="B479" s="1850" t="s">
        <v>16</v>
      </c>
      <c r="C479" s="1850" t="s">
        <v>2339</v>
      </c>
      <c r="D479" s="1850" t="s">
        <v>2340</v>
      </c>
      <c r="E479" s="1850" t="s">
        <v>2341</v>
      </c>
      <c r="F479" s="1850" t="s">
        <v>2313</v>
      </c>
      <c r="G479" s="1850" t="s">
        <v>22</v>
      </c>
      <c r="H479" s="1850" t="s">
        <v>22</v>
      </c>
      <c r="I479" s="1850" t="s">
        <v>909</v>
      </c>
    </row>
    <row customHeight="1" ht="11.25">
      <c r="A480" s="1850" t="s">
        <v>2246</v>
      </c>
      <c r="B480" s="1850" t="s">
        <v>16</v>
      </c>
      <c r="C480" s="1850" t="s">
        <v>3087</v>
      </c>
      <c r="D480" s="1850" t="s">
        <v>3088</v>
      </c>
      <c r="E480" s="1850" t="s">
        <v>3089</v>
      </c>
      <c r="F480" s="1850" t="s">
        <v>2313</v>
      </c>
      <c r="G480" s="1850" t="s">
        <v>22</v>
      </c>
      <c r="H480" s="1850" t="s">
        <v>22</v>
      </c>
      <c r="I480" s="1850" t="s">
        <v>909</v>
      </c>
    </row>
    <row customHeight="1" ht="11.25">
      <c r="A481" s="1850" t="s">
        <v>2246</v>
      </c>
      <c r="B481" s="1850" t="s">
        <v>16</v>
      </c>
      <c r="C481" s="1850" t="s">
        <v>2396</v>
      </c>
      <c r="D481" s="1850" t="s">
        <v>2397</v>
      </c>
      <c r="E481" s="1850" t="s">
        <v>2386</v>
      </c>
      <c r="F481" s="1850" t="s">
        <v>2398</v>
      </c>
      <c r="G481" s="1850" t="s">
        <v>22</v>
      </c>
      <c r="H481" s="1850" t="s">
        <v>22</v>
      </c>
      <c r="I481" s="1850" t="s">
        <v>909</v>
      </c>
    </row>
    <row customHeight="1" ht="11.25">
      <c r="A482" s="1850" t="s">
        <v>2246</v>
      </c>
      <c r="B482" s="1850" t="s">
        <v>16</v>
      </c>
      <c r="C482" s="1850" t="s">
        <v>3100</v>
      </c>
      <c r="D482" s="1850" t="s">
        <v>3101</v>
      </c>
      <c r="E482" s="1850" t="s">
        <v>3102</v>
      </c>
      <c r="F482" s="1850" t="s">
        <v>2548</v>
      </c>
      <c r="G482" s="1850" t="s">
        <v>22</v>
      </c>
      <c r="H482" s="1850" t="s">
        <v>22</v>
      </c>
      <c r="I482" s="1850" t="s">
        <v>909</v>
      </c>
    </row>
    <row customHeight="1" ht="11.25">
      <c r="A483" s="1850" t="s">
        <v>2246</v>
      </c>
      <c r="B483" s="1850" t="s">
        <v>16</v>
      </c>
      <c r="C483" s="1850" t="s">
        <v>3103</v>
      </c>
      <c r="D483" s="1850" t="s">
        <v>3104</v>
      </c>
      <c r="E483" s="1850" t="s">
        <v>3105</v>
      </c>
      <c r="F483" s="1850" t="s">
        <v>2562</v>
      </c>
      <c r="G483" s="1850" t="s">
        <v>22</v>
      </c>
      <c r="H483" s="1850" t="s">
        <v>22</v>
      </c>
      <c r="I483" s="1850" t="s">
        <v>909</v>
      </c>
    </row>
    <row customHeight="1" ht="11.25">
      <c r="A484" s="1850" t="s">
        <v>2246</v>
      </c>
      <c r="B484" s="1850" t="s">
        <v>16</v>
      </c>
      <c r="C484" s="1850" t="s">
        <v>2416</v>
      </c>
      <c r="D484" s="1850" t="s">
        <v>2417</v>
      </c>
      <c r="E484" s="1850" t="s">
        <v>2418</v>
      </c>
      <c r="F484" s="1850" t="s">
        <v>577</v>
      </c>
      <c r="G484" s="1850" t="s">
        <v>2419</v>
      </c>
      <c r="H484" s="1850" t="s">
        <v>22</v>
      </c>
      <c r="I484" s="1850" t="s">
        <v>909</v>
      </c>
    </row>
    <row customHeight="1" ht="11.25">
      <c r="A485" s="1850" t="s">
        <v>2246</v>
      </c>
      <c r="B485" s="1850" t="s">
        <v>16</v>
      </c>
      <c r="C485" s="1850" t="s">
        <v>2423</v>
      </c>
      <c r="D485" s="1850" t="s">
        <v>2424</v>
      </c>
      <c r="E485" s="1850" t="s">
        <v>2425</v>
      </c>
      <c r="F485" s="1850" t="s">
        <v>577</v>
      </c>
      <c r="G485" s="1850" t="s">
        <v>2426</v>
      </c>
      <c r="H485" s="1850" t="s">
        <v>22</v>
      </c>
      <c r="I485" s="1850" t="s">
        <v>909</v>
      </c>
    </row>
    <row customHeight="1" ht="11.25">
      <c r="A486" s="1850" t="s">
        <v>2246</v>
      </c>
      <c r="B486" s="1850" t="s">
        <v>16</v>
      </c>
      <c r="C486" s="1850" t="s">
        <v>3109</v>
      </c>
      <c r="D486" s="1850" t="s">
        <v>3110</v>
      </c>
      <c r="E486" s="1850" t="s">
        <v>3111</v>
      </c>
      <c r="F486" s="1850" t="s">
        <v>2744</v>
      </c>
      <c r="G486" s="1850" t="s">
        <v>22</v>
      </c>
      <c r="H486" s="1850" t="s">
        <v>22</v>
      </c>
      <c r="I486" s="1850" t="s">
        <v>909</v>
      </c>
    </row>
    <row customHeight="1" ht="11.25">
      <c r="A487" s="1850" t="s">
        <v>2246</v>
      </c>
      <c r="B487" s="1850" t="s">
        <v>16</v>
      </c>
      <c r="C487" s="1850" t="s">
        <v>3115</v>
      </c>
      <c r="D487" s="1850" t="s">
        <v>3116</v>
      </c>
      <c r="E487" s="1850" t="s">
        <v>3117</v>
      </c>
      <c r="F487" s="1850" t="s">
        <v>2321</v>
      </c>
      <c r="G487" s="1850" t="s">
        <v>3118</v>
      </c>
      <c r="H487" s="1850" t="s">
        <v>22</v>
      </c>
      <c r="I487" s="1850" t="s">
        <v>909</v>
      </c>
    </row>
    <row customHeight="1" ht="11.25">
      <c r="A488" s="1850" t="s">
        <v>2246</v>
      </c>
      <c r="B488" s="1850" t="s">
        <v>16</v>
      </c>
      <c r="C488" s="1850" t="s">
        <v>22</v>
      </c>
      <c r="D488" s="1850" t="s">
        <v>2447</v>
      </c>
      <c r="E488" s="1850" t="s">
        <v>2448</v>
      </c>
      <c r="F488" s="1850" t="s">
        <v>2254</v>
      </c>
      <c r="G488" s="1850" t="s">
        <v>22</v>
      </c>
      <c r="H488" s="1850" t="s">
        <v>22</v>
      </c>
      <c r="I488" s="1850" t="s">
        <v>909</v>
      </c>
    </row>
    <row customHeight="1" ht="11.25">
      <c r="A489" s="1850" t="s">
        <v>2246</v>
      </c>
      <c r="B489" s="1850" t="s">
        <v>16</v>
      </c>
      <c r="C489" s="1850" t="s">
        <v>3119</v>
      </c>
      <c r="D489" s="1850" t="s">
        <v>3120</v>
      </c>
      <c r="E489" s="1850" t="s">
        <v>3121</v>
      </c>
      <c r="F489" s="1850" t="s">
        <v>2345</v>
      </c>
      <c r="G489" s="1850" t="s">
        <v>22</v>
      </c>
      <c r="H489" s="1850" t="s">
        <v>22</v>
      </c>
      <c r="I489" s="1850" t="s">
        <v>909</v>
      </c>
    </row>
    <row customHeight="1" ht="11.25">
      <c r="A490" s="1850" t="s">
        <v>2246</v>
      </c>
      <c r="B490" s="1850" t="s">
        <v>16</v>
      </c>
      <c r="C490" s="1850" t="s">
        <v>3122</v>
      </c>
      <c r="D490" s="1850" t="s">
        <v>3123</v>
      </c>
      <c r="E490" s="1850" t="s">
        <v>3124</v>
      </c>
      <c r="F490" s="1850" t="s">
        <v>2672</v>
      </c>
      <c r="G490" s="1850" t="s">
        <v>22</v>
      </c>
      <c r="H490" s="1850" t="s">
        <v>22</v>
      </c>
      <c r="I490" s="1850" t="s">
        <v>909</v>
      </c>
    </row>
    <row customHeight="1" ht="11.25">
      <c r="A491" s="1850" t="s">
        <v>2246</v>
      </c>
      <c r="B491" s="1850" t="s">
        <v>16</v>
      </c>
      <c r="C491" s="1850" t="s">
        <v>3125</v>
      </c>
      <c r="D491" s="1850" t="s">
        <v>3126</v>
      </c>
      <c r="E491" s="1850" t="s">
        <v>3127</v>
      </c>
      <c r="F491" s="1850" t="s">
        <v>2445</v>
      </c>
      <c r="G491" s="1850" t="s">
        <v>22</v>
      </c>
      <c r="H491" s="1850" t="s">
        <v>22</v>
      </c>
      <c r="I491" s="1850" t="s">
        <v>909</v>
      </c>
    </row>
    <row customHeight="1" ht="11.25">
      <c r="A492" s="1850" t="s">
        <v>2246</v>
      </c>
      <c r="B492" s="1850" t="s">
        <v>16</v>
      </c>
      <c r="C492" s="1850" t="s">
        <v>3128</v>
      </c>
      <c r="D492" s="1850" t="s">
        <v>3129</v>
      </c>
      <c r="E492" s="1850" t="s">
        <v>3130</v>
      </c>
      <c r="F492" s="1850" t="s">
        <v>2365</v>
      </c>
      <c r="G492" s="1850" t="s">
        <v>22</v>
      </c>
      <c r="H492" s="1850" t="s">
        <v>22</v>
      </c>
      <c r="I492" s="1850" t="s">
        <v>909</v>
      </c>
    </row>
    <row customHeight="1" ht="11.25">
      <c r="A493" s="1850" t="s">
        <v>2246</v>
      </c>
      <c r="B493" s="1850" t="s">
        <v>16</v>
      </c>
      <c r="C493" s="1850" t="s">
        <v>2463</v>
      </c>
      <c r="D493" s="1850" t="s">
        <v>2464</v>
      </c>
      <c r="E493" s="1850" t="s">
        <v>2465</v>
      </c>
      <c r="F493" s="1850" t="s">
        <v>2321</v>
      </c>
      <c r="G493" s="1850" t="s">
        <v>22</v>
      </c>
      <c r="H493" s="1850" t="s">
        <v>22</v>
      </c>
      <c r="I493" s="1850" t="s">
        <v>909</v>
      </c>
    </row>
    <row customHeight="1" ht="11.25">
      <c r="A494" s="1850" t="s">
        <v>2246</v>
      </c>
      <c r="B494" s="1850" t="s">
        <v>16</v>
      </c>
      <c r="C494" s="1850" t="s">
        <v>2466</v>
      </c>
      <c r="D494" s="1850" t="s">
        <v>2467</v>
      </c>
      <c r="E494" s="1850" t="s">
        <v>2468</v>
      </c>
      <c r="F494" s="1850" t="s">
        <v>2250</v>
      </c>
      <c r="G494" s="1850" t="s">
        <v>2469</v>
      </c>
      <c r="H494" s="1850" t="s">
        <v>22</v>
      </c>
      <c r="I494" s="1850" t="s">
        <v>909</v>
      </c>
    </row>
    <row customHeight="1" ht="11.25">
      <c r="A495" s="1850" t="s">
        <v>2246</v>
      </c>
      <c r="B495" s="1850" t="s">
        <v>16</v>
      </c>
      <c r="C495" s="1850" t="s">
        <v>2470</v>
      </c>
      <c r="D495" s="1850" t="s">
        <v>2471</v>
      </c>
      <c r="E495" s="1850" t="s">
        <v>2472</v>
      </c>
      <c r="F495" s="1850" t="s">
        <v>2473</v>
      </c>
      <c r="G495" s="1850" t="s">
        <v>2474</v>
      </c>
      <c r="H495" s="1850" t="s">
        <v>22</v>
      </c>
      <c r="I495" s="1850" t="s">
        <v>909</v>
      </c>
    </row>
    <row customHeight="1" ht="11.25">
      <c r="A496" s="1850" t="s">
        <v>2246</v>
      </c>
      <c r="B496" s="1850" t="s">
        <v>16</v>
      </c>
      <c r="C496" s="1850" t="s">
        <v>2475</v>
      </c>
      <c r="D496" s="1850" t="s">
        <v>2476</v>
      </c>
      <c r="E496" s="1850" t="s">
        <v>2477</v>
      </c>
      <c r="F496" s="1850" t="s">
        <v>2321</v>
      </c>
      <c r="G496" s="1850" t="s">
        <v>2478</v>
      </c>
      <c r="H496" s="1850" t="s">
        <v>22</v>
      </c>
      <c r="I496" s="1850" t="s">
        <v>909</v>
      </c>
    </row>
    <row customHeight="1" ht="11.25">
      <c r="A497" s="1850" t="s">
        <v>2246</v>
      </c>
      <c r="B497" s="1850" t="s">
        <v>16</v>
      </c>
      <c r="C497" s="1850" t="s">
        <v>3260</v>
      </c>
      <c r="D497" s="1850" t="s">
        <v>3261</v>
      </c>
      <c r="E497" s="1850" t="s">
        <v>3262</v>
      </c>
      <c r="F497" s="1850" t="s">
        <v>2482</v>
      </c>
      <c r="G497" s="1850" t="s">
        <v>22</v>
      </c>
      <c r="H497" s="1850" t="s">
        <v>22</v>
      </c>
      <c r="I497" s="1850" t="s">
        <v>909</v>
      </c>
    </row>
    <row customHeight="1" ht="11.25">
      <c r="A498" s="1850" t="s">
        <v>2246</v>
      </c>
      <c r="B498" s="1850" t="s">
        <v>16</v>
      </c>
      <c r="C498" s="1850" t="s">
        <v>3131</v>
      </c>
      <c r="D498" s="1850" t="s">
        <v>3132</v>
      </c>
      <c r="E498" s="1850" t="s">
        <v>3133</v>
      </c>
      <c r="F498" s="1850" t="s">
        <v>2321</v>
      </c>
      <c r="G498" s="1850" t="s">
        <v>22</v>
      </c>
      <c r="H498" s="1850" t="s">
        <v>22</v>
      </c>
      <c r="I498" s="1850" t="s">
        <v>909</v>
      </c>
    </row>
    <row customHeight="1" ht="11.25">
      <c r="A499" s="1850" t="s">
        <v>2246</v>
      </c>
      <c r="B499" s="1850" t="s">
        <v>16</v>
      </c>
      <c r="C499" s="1850" t="s">
        <v>2489</v>
      </c>
      <c r="D499" s="1850" t="s">
        <v>2490</v>
      </c>
      <c r="E499" s="1850" t="s">
        <v>2491</v>
      </c>
      <c r="F499" s="1850" t="s">
        <v>2492</v>
      </c>
      <c r="G499" s="1850" t="s">
        <v>22</v>
      </c>
      <c r="H499" s="1850" t="s">
        <v>22</v>
      </c>
      <c r="I499" s="1850" t="s">
        <v>909</v>
      </c>
    </row>
    <row customHeight="1" ht="11.25">
      <c r="A500" s="1850" t="s">
        <v>2246</v>
      </c>
      <c r="B500" s="1850" t="s">
        <v>16</v>
      </c>
      <c r="C500" s="1850" t="s">
        <v>2496</v>
      </c>
      <c r="D500" s="1850" t="s">
        <v>2497</v>
      </c>
      <c r="E500" s="1850" t="s">
        <v>2498</v>
      </c>
      <c r="F500" s="1850" t="s">
        <v>2499</v>
      </c>
      <c r="G500" s="1850" t="s">
        <v>22</v>
      </c>
      <c r="H500" s="1850" t="s">
        <v>22</v>
      </c>
      <c r="I500" s="1850" t="s">
        <v>909</v>
      </c>
    </row>
    <row customHeight="1" ht="11.25">
      <c r="A501" s="1850" t="s">
        <v>2246</v>
      </c>
      <c r="B501" s="1850" t="s">
        <v>16</v>
      </c>
      <c r="C501" s="1850" t="s">
        <v>3134</v>
      </c>
      <c r="D501" s="1850" t="s">
        <v>3135</v>
      </c>
      <c r="E501" s="1850" t="s">
        <v>3136</v>
      </c>
      <c r="F501" s="1850" t="s">
        <v>2492</v>
      </c>
      <c r="G501" s="1850" t="s">
        <v>22</v>
      </c>
      <c r="H501" s="1850" t="s">
        <v>22</v>
      </c>
      <c r="I501" s="1850" t="s">
        <v>909</v>
      </c>
    </row>
    <row customHeight="1" ht="11.25">
      <c r="A502" s="1850" t="s">
        <v>2246</v>
      </c>
      <c r="B502" s="1850" t="s">
        <v>16</v>
      </c>
      <c r="C502" s="1850" t="s">
        <v>3137</v>
      </c>
      <c r="D502" s="1850" t="s">
        <v>3138</v>
      </c>
      <c r="E502" s="1850" t="s">
        <v>3139</v>
      </c>
      <c r="F502" s="1850" t="s">
        <v>2542</v>
      </c>
      <c r="G502" s="1850" t="s">
        <v>22</v>
      </c>
      <c r="H502" s="1850" t="s">
        <v>22</v>
      </c>
      <c r="I502" s="1850" t="s">
        <v>909</v>
      </c>
    </row>
    <row customHeight="1" ht="11.25">
      <c r="A503" s="1850" t="s">
        <v>2246</v>
      </c>
      <c r="B503" s="1850" t="s">
        <v>16</v>
      </c>
      <c r="C503" s="1850" t="s">
        <v>3140</v>
      </c>
      <c r="D503" s="1850" t="s">
        <v>3141</v>
      </c>
      <c r="E503" s="1850" t="s">
        <v>3142</v>
      </c>
      <c r="F503" s="1850" t="s">
        <v>2250</v>
      </c>
      <c r="G503" s="1850" t="s">
        <v>22</v>
      </c>
      <c r="H503" s="1850" t="s">
        <v>22</v>
      </c>
      <c r="I503" s="1850" t="s">
        <v>909</v>
      </c>
    </row>
    <row customHeight="1" ht="11.25">
      <c r="A504" s="1850" t="s">
        <v>2246</v>
      </c>
      <c r="B504" s="1850" t="s">
        <v>16</v>
      </c>
      <c r="C504" s="1850" t="s">
        <v>3143</v>
      </c>
      <c r="D504" s="1850" t="s">
        <v>3144</v>
      </c>
      <c r="E504" s="1850" t="s">
        <v>3145</v>
      </c>
      <c r="F504" s="1850" t="s">
        <v>2365</v>
      </c>
      <c r="G504" s="1850" t="s">
        <v>22</v>
      </c>
      <c r="H504" s="1850" t="s">
        <v>22</v>
      </c>
      <c r="I504" s="1850" t="s">
        <v>909</v>
      </c>
    </row>
    <row customHeight="1" ht="11.25">
      <c r="A505" s="1850" t="s">
        <v>2246</v>
      </c>
      <c r="B505" s="1850" t="s">
        <v>16</v>
      </c>
      <c r="C505" s="1850" t="s">
        <v>2500</v>
      </c>
      <c r="D505" s="1850" t="s">
        <v>2501</v>
      </c>
      <c r="E505" s="1850" t="s">
        <v>2502</v>
      </c>
      <c r="F505" s="1850" t="s">
        <v>2503</v>
      </c>
      <c r="G505" s="1850" t="s">
        <v>22</v>
      </c>
      <c r="H505" s="1850" t="s">
        <v>22</v>
      </c>
      <c r="I505" s="1850" t="s">
        <v>909</v>
      </c>
    </row>
    <row customHeight="1" ht="11.25">
      <c r="A506" s="1850" t="s">
        <v>2246</v>
      </c>
      <c r="B506" s="1850" t="s">
        <v>16</v>
      </c>
      <c r="C506" s="1850" t="s">
        <v>2504</v>
      </c>
      <c r="D506" s="1850" t="s">
        <v>2505</v>
      </c>
      <c r="E506" s="1850" t="s">
        <v>2506</v>
      </c>
      <c r="F506" s="1850" t="s">
        <v>2503</v>
      </c>
      <c r="G506" s="1850" t="s">
        <v>22</v>
      </c>
      <c r="H506" s="1850" t="s">
        <v>22</v>
      </c>
      <c r="I506" s="1850" t="s">
        <v>909</v>
      </c>
    </row>
    <row customHeight="1" ht="11.25">
      <c r="A507" s="1850" t="s">
        <v>2246</v>
      </c>
      <c r="B507" s="1850" t="s">
        <v>16</v>
      </c>
      <c r="C507" s="1850" t="s">
        <v>2507</v>
      </c>
      <c r="D507" s="1850" t="s">
        <v>2508</v>
      </c>
      <c r="E507" s="1850" t="s">
        <v>2509</v>
      </c>
      <c r="F507" s="1850" t="s">
        <v>2503</v>
      </c>
      <c r="G507" s="1850" t="s">
        <v>22</v>
      </c>
      <c r="H507" s="1850" t="s">
        <v>22</v>
      </c>
      <c r="I507" s="1850" t="s">
        <v>909</v>
      </c>
    </row>
    <row customHeight="1" ht="11.25">
      <c r="A508" s="1850" t="s">
        <v>2246</v>
      </c>
      <c r="B508" s="1850" t="s">
        <v>16</v>
      </c>
      <c r="C508" s="1850" t="s">
        <v>2510</v>
      </c>
      <c r="D508" s="1850" t="s">
        <v>2511</v>
      </c>
      <c r="E508" s="1850" t="s">
        <v>2512</v>
      </c>
      <c r="F508" s="1850" t="s">
        <v>2345</v>
      </c>
      <c r="G508" s="1850" t="s">
        <v>2513</v>
      </c>
      <c r="H508" s="1850" t="s">
        <v>22</v>
      </c>
      <c r="I508" s="1850" t="s">
        <v>909</v>
      </c>
    </row>
    <row customHeight="1" ht="11.25">
      <c r="A509" s="1850" t="s">
        <v>2246</v>
      </c>
      <c r="B509" s="1850" t="s">
        <v>16</v>
      </c>
      <c r="C509" s="1850" t="s">
        <v>3146</v>
      </c>
      <c r="D509" s="1850" t="s">
        <v>3147</v>
      </c>
      <c r="E509" s="1850" t="s">
        <v>3148</v>
      </c>
      <c r="F509" s="1850" t="s">
        <v>2361</v>
      </c>
      <c r="G509" s="1850" t="s">
        <v>3149</v>
      </c>
      <c r="H509" s="1850" t="s">
        <v>22</v>
      </c>
      <c r="I509" s="1850" t="s">
        <v>909</v>
      </c>
    </row>
    <row customHeight="1" ht="11.25">
      <c r="A510" s="1850" t="s">
        <v>2246</v>
      </c>
      <c r="B510" s="1850" t="s">
        <v>16</v>
      </c>
      <c r="C510" s="1850" t="s">
        <v>2514</v>
      </c>
      <c r="D510" s="1850" t="s">
        <v>2515</v>
      </c>
      <c r="E510" s="1850" t="s">
        <v>2516</v>
      </c>
      <c r="F510" s="1850" t="s">
        <v>2313</v>
      </c>
      <c r="G510" s="1850" t="s">
        <v>2517</v>
      </c>
      <c r="H510" s="1850" t="s">
        <v>22</v>
      </c>
      <c r="I510" s="1850" t="s">
        <v>909</v>
      </c>
    </row>
    <row customHeight="1" ht="11.25">
      <c r="A511" s="1850" t="s">
        <v>2246</v>
      </c>
      <c r="B511" s="1850" t="s">
        <v>16</v>
      </c>
      <c r="C511" s="1850" t="s">
        <v>2518</v>
      </c>
      <c r="D511" s="1850" t="s">
        <v>2519</v>
      </c>
      <c r="E511" s="1850" t="s">
        <v>2520</v>
      </c>
      <c r="F511" s="1850" t="s">
        <v>2345</v>
      </c>
      <c r="G511" s="1850" t="s">
        <v>2521</v>
      </c>
      <c r="H511" s="1850" t="s">
        <v>22</v>
      </c>
      <c r="I511" s="1850" t="s">
        <v>909</v>
      </c>
    </row>
    <row customHeight="1" ht="11.25">
      <c r="A512" s="1850" t="s">
        <v>2246</v>
      </c>
      <c r="B512" s="1850" t="s">
        <v>16</v>
      </c>
      <c r="C512" s="1850" t="s">
        <v>2522</v>
      </c>
      <c r="D512" s="1850" t="s">
        <v>2523</v>
      </c>
      <c r="E512" s="1850" t="s">
        <v>2524</v>
      </c>
      <c r="F512" s="1850" t="s">
        <v>2525</v>
      </c>
      <c r="G512" s="1850" t="s">
        <v>22</v>
      </c>
      <c r="H512" s="1850" t="s">
        <v>22</v>
      </c>
      <c r="I512" s="1850" t="s">
        <v>909</v>
      </c>
    </row>
    <row customHeight="1" ht="11.25">
      <c r="A513" s="1850" t="s">
        <v>2246</v>
      </c>
      <c r="B513" s="1850" t="s">
        <v>16</v>
      </c>
      <c r="C513" s="1850" t="s">
        <v>2531</v>
      </c>
      <c r="D513" s="1850" t="s">
        <v>2532</v>
      </c>
      <c r="E513" s="1850" t="s">
        <v>2533</v>
      </c>
      <c r="F513" s="1850" t="s">
        <v>2345</v>
      </c>
      <c r="G513" s="1850" t="s">
        <v>2534</v>
      </c>
      <c r="H513" s="1850" t="s">
        <v>22</v>
      </c>
      <c r="I513" s="1850" t="s">
        <v>909</v>
      </c>
    </row>
    <row customHeight="1" ht="11.25">
      <c r="A514" s="1850" t="s">
        <v>2246</v>
      </c>
      <c r="B514" s="1850" t="s">
        <v>16</v>
      </c>
      <c r="C514" s="1850" t="s">
        <v>2554</v>
      </c>
      <c r="D514" s="1850" t="s">
        <v>2555</v>
      </c>
      <c r="E514" s="1850" t="s">
        <v>2556</v>
      </c>
      <c r="F514" s="1850" t="s">
        <v>2557</v>
      </c>
      <c r="G514" s="1850" t="s">
        <v>2558</v>
      </c>
      <c r="H514" s="1850" t="s">
        <v>22</v>
      </c>
      <c r="I514" s="1850" t="s">
        <v>909</v>
      </c>
    </row>
    <row customHeight="1" ht="11.25">
      <c r="A515" s="1850" t="s">
        <v>2246</v>
      </c>
      <c r="B515" s="1850" t="s">
        <v>16</v>
      </c>
      <c r="C515" s="1850" t="s">
        <v>2559</v>
      </c>
      <c r="D515" s="1850" t="s">
        <v>2560</v>
      </c>
      <c r="E515" s="1850" t="s">
        <v>2561</v>
      </c>
      <c r="F515" s="1850" t="s">
        <v>2562</v>
      </c>
      <c r="G515" s="1850" t="s">
        <v>22</v>
      </c>
      <c r="H515" s="1850" t="s">
        <v>22</v>
      </c>
      <c r="I515" s="1850" t="s">
        <v>909</v>
      </c>
    </row>
    <row customHeight="1" ht="11.25">
      <c r="A516" s="1850" t="s">
        <v>2246</v>
      </c>
      <c r="B516" s="1850" t="s">
        <v>16</v>
      </c>
      <c r="C516" s="1850" t="s">
        <v>3150</v>
      </c>
      <c r="D516" s="1850" t="s">
        <v>3151</v>
      </c>
      <c r="E516" s="1850" t="s">
        <v>3152</v>
      </c>
      <c r="F516" s="1850" t="s">
        <v>2503</v>
      </c>
      <c r="G516" s="1850" t="s">
        <v>22</v>
      </c>
      <c r="H516" s="1850" t="s">
        <v>22</v>
      </c>
      <c r="I516" s="1850" t="s">
        <v>909</v>
      </c>
    </row>
    <row customHeight="1" ht="11.25">
      <c r="A517" s="1850" t="s">
        <v>2246</v>
      </c>
      <c r="B517" s="1850" t="s">
        <v>16</v>
      </c>
      <c r="C517" s="1850" t="s">
        <v>2563</v>
      </c>
      <c r="D517" s="1850" t="s">
        <v>2564</v>
      </c>
      <c r="E517" s="1850" t="s">
        <v>2565</v>
      </c>
      <c r="F517" s="1850" t="s">
        <v>2562</v>
      </c>
      <c r="G517" s="1850" t="s">
        <v>2566</v>
      </c>
      <c r="H517" s="1850" t="s">
        <v>22</v>
      </c>
      <c r="I517" s="1850" t="s">
        <v>909</v>
      </c>
    </row>
    <row customHeight="1" ht="11.25">
      <c r="A518" s="1850" t="s">
        <v>2246</v>
      </c>
      <c r="B518" s="1850" t="s">
        <v>16</v>
      </c>
      <c r="C518" s="1850" t="s">
        <v>2567</v>
      </c>
      <c r="D518" s="1850" t="s">
        <v>2568</v>
      </c>
      <c r="E518" s="1850" t="s">
        <v>2569</v>
      </c>
      <c r="F518" s="1850" t="s">
        <v>2353</v>
      </c>
      <c r="G518" s="1850" t="s">
        <v>22</v>
      </c>
      <c r="H518" s="1850" t="s">
        <v>22</v>
      </c>
      <c r="I518" s="1850" t="s">
        <v>909</v>
      </c>
    </row>
    <row customHeight="1" ht="11.25">
      <c r="A519" s="1850" t="s">
        <v>2246</v>
      </c>
      <c r="B519" s="1850" t="s">
        <v>16</v>
      </c>
      <c r="C519" s="1850" t="s">
        <v>2570</v>
      </c>
      <c r="D519" s="1850" t="s">
        <v>2571</v>
      </c>
      <c r="E519" s="1850" t="s">
        <v>2572</v>
      </c>
      <c r="F519" s="1850" t="s">
        <v>2503</v>
      </c>
      <c r="G519" s="1850" t="s">
        <v>2573</v>
      </c>
      <c r="H519" s="1850" t="s">
        <v>2574</v>
      </c>
      <c r="I519" s="1850" t="s">
        <v>909</v>
      </c>
    </row>
    <row customHeight="1" ht="11.25">
      <c r="A520" s="1850" t="s">
        <v>2246</v>
      </c>
      <c r="B520" s="1850" t="s">
        <v>16</v>
      </c>
      <c r="C520" s="1850" t="s">
        <v>3153</v>
      </c>
      <c r="D520" s="1850" t="s">
        <v>3154</v>
      </c>
      <c r="E520" s="1850" t="s">
        <v>3155</v>
      </c>
      <c r="F520" s="1850" t="s">
        <v>2552</v>
      </c>
      <c r="G520" s="1850" t="s">
        <v>3156</v>
      </c>
      <c r="H520" s="1850" t="s">
        <v>22</v>
      </c>
      <c r="I520" s="1850" t="s">
        <v>909</v>
      </c>
    </row>
    <row customHeight="1" ht="11.25">
      <c r="A521" s="1850" t="s">
        <v>2246</v>
      </c>
      <c r="B521" s="1850" t="s">
        <v>16</v>
      </c>
      <c r="C521" s="1850" t="s">
        <v>2575</v>
      </c>
      <c r="D521" s="1850" t="s">
        <v>2576</v>
      </c>
      <c r="E521" s="1850" t="s">
        <v>2577</v>
      </c>
      <c r="F521" s="1850" t="s">
        <v>2557</v>
      </c>
      <c r="G521" s="1850" t="s">
        <v>2578</v>
      </c>
      <c r="H521" s="1850" t="s">
        <v>22</v>
      </c>
      <c r="I521" s="1850" t="s">
        <v>909</v>
      </c>
    </row>
    <row customHeight="1" ht="11.25">
      <c r="A522" s="1850" t="s">
        <v>2246</v>
      </c>
      <c r="B522" s="1850" t="s">
        <v>16</v>
      </c>
      <c r="C522" s="1850" t="s">
        <v>3157</v>
      </c>
      <c r="D522" s="1850" t="s">
        <v>3158</v>
      </c>
      <c r="E522" s="1850" t="s">
        <v>3159</v>
      </c>
      <c r="F522" s="1850" t="s">
        <v>2254</v>
      </c>
      <c r="G522" s="1850" t="s">
        <v>22</v>
      </c>
      <c r="H522" s="1850" t="s">
        <v>22</v>
      </c>
      <c r="I522" s="1850" t="s">
        <v>909</v>
      </c>
    </row>
    <row customHeight="1" ht="11.25">
      <c r="A523" s="1850" t="s">
        <v>2246</v>
      </c>
      <c r="B523" s="1850" t="s">
        <v>16</v>
      </c>
      <c r="C523" s="1850" t="s">
        <v>2583</v>
      </c>
      <c r="D523" s="1850" t="s">
        <v>2584</v>
      </c>
      <c r="E523" s="1850" t="s">
        <v>2585</v>
      </c>
      <c r="F523" s="1850" t="s">
        <v>2298</v>
      </c>
      <c r="G523" s="1850" t="s">
        <v>22</v>
      </c>
      <c r="H523" s="1850" t="s">
        <v>22</v>
      </c>
      <c r="I523" s="1850" t="s">
        <v>909</v>
      </c>
    </row>
    <row customHeight="1" ht="11.25">
      <c r="A524" s="1850" t="s">
        <v>2246</v>
      </c>
      <c r="B524" s="1850" t="s">
        <v>16</v>
      </c>
      <c r="C524" s="1850" t="s">
        <v>2586</v>
      </c>
      <c r="D524" s="1850" t="s">
        <v>2587</v>
      </c>
      <c r="E524" s="1850" t="s">
        <v>2588</v>
      </c>
      <c r="F524" s="1850" t="s">
        <v>2298</v>
      </c>
      <c r="G524" s="1850" t="s">
        <v>2589</v>
      </c>
      <c r="H524" s="1850" t="s">
        <v>22</v>
      </c>
      <c r="I524" s="1850" t="s">
        <v>909</v>
      </c>
    </row>
    <row customHeight="1" ht="11.25">
      <c r="A525" s="1850" t="s">
        <v>2246</v>
      </c>
      <c r="B525" s="1850" t="s">
        <v>16</v>
      </c>
      <c r="C525" s="1850" t="s">
        <v>2590</v>
      </c>
      <c r="D525" s="1850" t="s">
        <v>2591</v>
      </c>
      <c r="E525" s="1850" t="s">
        <v>2592</v>
      </c>
      <c r="F525" s="1850" t="s">
        <v>2593</v>
      </c>
      <c r="G525" s="1850" t="s">
        <v>2594</v>
      </c>
      <c r="H525" s="1850" t="s">
        <v>22</v>
      </c>
      <c r="I525" s="1850" t="s">
        <v>909</v>
      </c>
    </row>
    <row customHeight="1" ht="11.25">
      <c r="A526" s="1850" t="s">
        <v>2246</v>
      </c>
      <c r="B526" s="1850" t="s">
        <v>16</v>
      </c>
      <c r="C526" s="1850" t="s">
        <v>2595</v>
      </c>
      <c r="D526" s="1850" t="s">
        <v>2596</v>
      </c>
      <c r="E526" s="1850" t="s">
        <v>2597</v>
      </c>
      <c r="F526" s="1850" t="s">
        <v>2525</v>
      </c>
      <c r="G526" s="1850" t="s">
        <v>22</v>
      </c>
      <c r="H526" s="1850" t="s">
        <v>22</v>
      </c>
      <c r="I526" s="1850" t="s">
        <v>909</v>
      </c>
    </row>
    <row customHeight="1" ht="11.25">
      <c r="A527" s="1850" t="s">
        <v>2246</v>
      </c>
      <c r="B527" s="1850" t="s">
        <v>16</v>
      </c>
      <c r="C527" s="1850" t="s">
        <v>3160</v>
      </c>
      <c r="D527" s="1850" t="s">
        <v>3161</v>
      </c>
      <c r="E527" s="1850" t="s">
        <v>3162</v>
      </c>
      <c r="F527" s="1850" t="s">
        <v>2306</v>
      </c>
      <c r="G527" s="1850" t="s">
        <v>22</v>
      </c>
      <c r="H527" s="1850" t="s">
        <v>22</v>
      </c>
      <c r="I527" s="1850" t="s">
        <v>909</v>
      </c>
    </row>
    <row customHeight="1" ht="11.25">
      <c r="A528" s="1850" t="s">
        <v>2246</v>
      </c>
      <c r="B528" s="1850" t="s">
        <v>16</v>
      </c>
      <c r="C528" s="1850" t="s">
        <v>2598</v>
      </c>
      <c r="D528" s="1850" t="s">
        <v>2599</v>
      </c>
      <c r="E528" s="1850" t="s">
        <v>2600</v>
      </c>
      <c r="F528" s="1850" t="s">
        <v>2298</v>
      </c>
      <c r="G528" s="1850" t="s">
        <v>22</v>
      </c>
      <c r="H528" s="1850" t="s">
        <v>22</v>
      </c>
      <c r="I528" s="1850" t="s">
        <v>909</v>
      </c>
    </row>
    <row customHeight="1" ht="11.25">
      <c r="A529" s="1850" t="s">
        <v>2246</v>
      </c>
      <c r="B529" s="1850" t="s">
        <v>16</v>
      </c>
      <c r="C529" s="1850" t="s">
        <v>2601</v>
      </c>
      <c r="D529" s="1850" t="s">
        <v>2602</v>
      </c>
      <c r="E529" s="1850" t="s">
        <v>2603</v>
      </c>
      <c r="F529" s="1850" t="s">
        <v>2492</v>
      </c>
      <c r="G529" s="1850" t="s">
        <v>22</v>
      </c>
      <c r="H529" s="1850" t="s">
        <v>22</v>
      </c>
      <c r="I529" s="1850" t="s">
        <v>909</v>
      </c>
    </row>
    <row customHeight="1" ht="11.25">
      <c r="A530" s="1850" t="s">
        <v>2246</v>
      </c>
      <c r="B530" s="1850" t="s">
        <v>16</v>
      </c>
      <c r="C530" s="1850" t="s">
        <v>2604</v>
      </c>
      <c r="D530" s="1850" t="s">
        <v>2602</v>
      </c>
      <c r="E530" s="1850" t="s">
        <v>2603</v>
      </c>
      <c r="F530" s="1850" t="s">
        <v>2548</v>
      </c>
      <c r="G530" s="1850" t="s">
        <v>22</v>
      </c>
      <c r="H530" s="1850" t="s">
        <v>22</v>
      </c>
      <c r="I530" s="1850" t="s">
        <v>909</v>
      </c>
    </row>
    <row customHeight="1" ht="11.25">
      <c r="A531" s="1850" t="s">
        <v>2246</v>
      </c>
      <c r="B531" s="1850" t="s">
        <v>16</v>
      </c>
      <c r="C531" s="1850" t="s">
        <v>2605</v>
      </c>
      <c r="D531" s="1850" t="s">
        <v>2606</v>
      </c>
      <c r="E531" s="1850" t="s">
        <v>2386</v>
      </c>
      <c r="F531" s="1850" t="s">
        <v>2607</v>
      </c>
      <c r="G531" s="1850" t="s">
        <v>2608</v>
      </c>
      <c r="H531" s="1850" t="s">
        <v>22</v>
      </c>
      <c r="I531" s="1850" t="s">
        <v>909</v>
      </c>
    </row>
    <row customHeight="1" ht="11.25">
      <c r="A532" s="1850" t="s">
        <v>2246</v>
      </c>
      <c r="B532" s="1850" t="s">
        <v>16</v>
      </c>
      <c r="C532" s="1850" t="s">
        <v>2609</v>
      </c>
      <c r="D532" s="1850" t="s">
        <v>2610</v>
      </c>
      <c r="E532" s="1850" t="s">
        <v>2611</v>
      </c>
      <c r="F532" s="1850" t="s">
        <v>2612</v>
      </c>
      <c r="G532" s="1850" t="s">
        <v>22</v>
      </c>
      <c r="H532" s="1850" t="s">
        <v>22</v>
      </c>
      <c r="I532" s="1850" t="s">
        <v>909</v>
      </c>
    </row>
    <row customHeight="1" ht="11.25">
      <c r="A533" s="1850" t="s">
        <v>2246</v>
      </c>
      <c r="B533" s="1850" t="s">
        <v>16</v>
      </c>
      <c r="C533" s="1850" t="s">
        <v>2633</v>
      </c>
      <c r="D533" s="1850" t="s">
        <v>2634</v>
      </c>
      <c r="E533" s="1850" t="s">
        <v>2635</v>
      </c>
      <c r="F533" s="1850" t="s">
        <v>2557</v>
      </c>
      <c r="G533" s="1850" t="s">
        <v>22</v>
      </c>
      <c r="H533" s="1850" t="s">
        <v>22</v>
      </c>
      <c r="I533" s="1850" t="s">
        <v>909</v>
      </c>
    </row>
    <row customHeight="1" ht="11.25">
      <c r="A534" s="1850" t="s">
        <v>2246</v>
      </c>
      <c r="B534" s="1850" t="s">
        <v>16</v>
      </c>
      <c r="C534" s="1850" t="s">
        <v>3163</v>
      </c>
      <c r="D534" s="1850" t="s">
        <v>3164</v>
      </c>
      <c r="E534" s="1850" t="s">
        <v>3165</v>
      </c>
      <c r="F534" s="1850" t="s">
        <v>2445</v>
      </c>
      <c r="G534" s="1850" t="s">
        <v>22</v>
      </c>
      <c r="H534" s="1850" t="s">
        <v>22</v>
      </c>
      <c r="I534" s="1850" t="s">
        <v>909</v>
      </c>
    </row>
    <row customHeight="1" ht="11.25">
      <c r="A535" s="1850" t="s">
        <v>2246</v>
      </c>
      <c r="B535" s="1850" t="s">
        <v>16</v>
      </c>
      <c r="C535" s="1850" t="s">
        <v>3170</v>
      </c>
      <c r="D535" s="1850" t="s">
        <v>3171</v>
      </c>
      <c r="E535" s="1850" t="s">
        <v>3172</v>
      </c>
      <c r="F535" s="1850" t="s">
        <v>2298</v>
      </c>
      <c r="G535" s="1850" t="s">
        <v>22</v>
      </c>
      <c r="H535" s="1850" t="s">
        <v>22</v>
      </c>
      <c r="I535" s="1850" t="s">
        <v>909</v>
      </c>
    </row>
    <row customHeight="1" ht="11.25">
      <c r="A536" s="1850" t="s">
        <v>2246</v>
      </c>
      <c r="B536" s="1850" t="s">
        <v>16</v>
      </c>
      <c r="C536" s="1850" t="s">
        <v>2643</v>
      </c>
      <c r="D536" s="1850" t="s">
        <v>2644</v>
      </c>
      <c r="E536" s="1850" t="s">
        <v>2645</v>
      </c>
      <c r="F536" s="1850" t="s">
        <v>2298</v>
      </c>
      <c r="G536" s="1850" t="s">
        <v>22</v>
      </c>
      <c r="H536" s="1850" t="s">
        <v>22</v>
      </c>
      <c r="I536" s="1850" t="s">
        <v>909</v>
      </c>
    </row>
    <row customHeight="1" ht="11.25">
      <c r="A537" s="1850" t="s">
        <v>2246</v>
      </c>
      <c r="B537" s="1850" t="s">
        <v>16</v>
      </c>
      <c r="C537" s="1850" t="s">
        <v>2649</v>
      </c>
      <c r="D537" s="1850" t="s">
        <v>2650</v>
      </c>
      <c r="E537" s="1850" t="s">
        <v>2651</v>
      </c>
      <c r="F537" s="1850" t="s">
        <v>2250</v>
      </c>
      <c r="G537" s="1850" t="s">
        <v>22</v>
      </c>
      <c r="H537" s="1850" t="s">
        <v>22</v>
      </c>
      <c r="I537" s="1850" t="s">
        <v>909</v>
      </c>
    </row>
    <row customHeight="1" ht="11.25">
      <c r="A538" s="1850" t="s">
        <v>2246</v>
      </c>
      <c r="B538" s="1850" t="s">
        <v>16</v>
      </c>
      <c r="C538" s="1850" t="s">
        <v>3263</v>
      </c>
      <c r="D538" s="1850" t="s">
        <v>3264</v>
      </c>
      <c r="E538" s="1850" t="s">
        <v>3265</v>
      </c>
      <c r="F538" s="1850" t="s">
        <v>2349</v>
      </c>
      <c r="G538" s="1850" t="s">
        <v>22</v>
      </c>
      <c r="H538" s="1850" t="s">
        <v>22</v>
      </c>
      <c r="I538" s="1850" t="s">
        <v>909</v>
      </c>
    </row>
    <row customHeight="1" ht="11.25">
      <c r="A539" s="1850" t="s">
        <v>2246</v>
      </c>
      <c r="B539" s="1850" t="s">
        <v>16</v>
      </c>
      <c r="C539" s="1850" t="s">
        <v>3173</v>
      </c>
      <c r="D539" s="1850" t="s">
        <v>3174</v>
      </c>
      <c r="E539" s="1850" t="s">
        <v>3175</v>
      </c>
      <c r="F539" s="1850" t="s">
        <v>2452</v>
      </c>
      <c r="G539" s="1850" t="s">
        <v>22</v>
      </c>
      <c r="H539" s="1850" t="s">
        <v>22</v>
      </c>
      <c r="I539" s="1850" t="s">
        <v>909</v>
      </c>
    </row>
    <row customHeight="1" ht="11.25">
      <c r="A540" s="1850" t="s">
        <v>2246</v>
      </c>
      <c r="B540" s="1850" t="s">
        <v>16</v>
      </c>
      <c r="C540" s="1850" t="s">
        <v>3176</v>
      </c>
      <c r="D540" s="1850" t="s">
        <v>3177</v>
      </c>
      <c r="E540" s="1850" t="s">
        <v>3178</v>
      </c>
      <c r="F540" s="1850" t="s">
        <v>2365</v>
      </c>
      <c r="G540" s="1850" t="s">
        <v>22</v>
      </c>
      <c r="H540" s="1850" t="s">
        <v>22</v>
      </c>
      <c r="I540" s="1850" t="s">
        <v>909</v>
      </c>
    </row>
    <row customHeight="1" ht="11.25">
      <c r="A541" s="1850" t="s">
        <v>2246</v>
      </c>
      <c r="B541" s="1850" t="s">
        <v>16</v>
      </c>
      <c r="C541" s="1850" t="s">
        <v>3179</v>
      </c>
      <c r="D541" s="1850" t="s">
        <v>3177</v>
      </c>
      <c r="E541" s="1850" t="s">
        <v>3180</v>
      </c>
      <c r="F541" s="1850" t="s">
        <v>2361</v>
      </c>
      <c r="G541" s="1850" t="s">
        <v>22</v>
      </c>
      <c r="H541" s="1850" t="s">
        <v>22</v>
      </c>
      <c r="I541" s="1850" t="s">
        <v>909</v>
      </c>
    </row>
    <row customHeight="1" ht="11.25">
      <c r="A542" s="1850" t="s">
        <v>2246</v>
      </c>
      <c r="B542" s="1850" t="s">
        <v>16</v>
      </c>
      <c r="C542" s="1850" t="s">
        <v>3181</v>
      </c>
      <c r="D542" s="1850" t="s">
        <v>3177</v>
      </c>
      <c r="E542" s="1850" t="s">
        <v>3182</v>
      </c>
      <c r="F542" s="1850" t="s">
        <v>2313</v>
      </c>
      <c r="G542" s="1850" t="s">
        <v>22</v>
      </c>
      <c r="H542" s="1850" t="s">
        <v>22</v>
      </c>
      <c r="I542" s="1850" t="s">
        <v>909</v>
      </c>
    </row>
    <row customHeight="1" ht="11.25">
      <c r="A543" s="1850" t="s">
        <v>2246</v>
      </c>
      <c r="B543" s="1850" t="s">
        <v>16</v>
      </c>
      <c r="C543" s="1850" t="s">
        <v>3183</v>
      </c>
      <c r="D543" s="1850" t="s">
        <v>3184</v>
      </c>
      <c r="E543" s="1850" t="s">
        <v>3185</v>
      </c>
      <c r="F543" s="1850" t="s">
        <v>2298</v>
      </c>
      <c r="G543" s="1850" t="s">
        <v>22</v>
      </c>
      <c r="H543" s="1850" t="s">
        <v>22</v>
      </c>
      <c r="I543" s="1850" t="s">
        <v>909</v>
      </c>
    </row>
    <row customHeight="1" ht="11.25">
      <c r="A544" s="1850" t="s">
        <v>2246</v>
      </c>
      <c r="B544" s="1850" t="s">
        <v>16</v>
      </c>
      <c r="C544" s="1850" t="s">
        <v>2673</v>
      </c>
      <c r="D544" s="1850" t="s">
        <v>2674</v>
      </c>
      <c r="E544" s="1850" t="s">
        <v>2675</v>
      </c>
      <c r="F544" s="1850" t="s">
        <v>2254</v>
      </c>
      <c r="G544" s="1850" t="s">
        <v>22</v>
      </c>
      <c r="H544" s="1850" t="s">
        <v>22</v>
      </c>
      <c r="I544" s="1850" t="s">
        <v>909</v>
      </c>
    </row>
    <row customHeight="1" ht="11.25">
      <c r="A545" s="1850" t="s">
        <v>2246</v>
      </c>
      <c r="B545" s="1850" t="s">
        <v>16</v>
      </c>
      <c r="C545" s="1850" t="s">
        <v>3266</v>
      </c>
      <c r="D545" s="1850" t="s">
        <v>3267</v>
      </c>
      <c r="E545" s="1850" t="s">
        <v>3188</v>
      </c>
      <c r="F545" s="1850" t="s">
        <v>3268</v>
      </c>
      <c r="G545" s="1850" t="s">
        <v>22</v>
      </c>
      <c r="H545" s="1850" t="s">
        <v>22</v>
      </c>
      <c r="I545" s="1850" t="s">
        <v>909</v>
      </c>
    </row>
    <row customHeight="1" ht="11.25">
      <c r="A546" s="1850" t="s">
        <v>2246</v>
      </c>
      <c r="B546" s="1850" t="s">
        <v>16</v>
      </c>
      <c r="C546" s="1850" t="s">
        <v>2689</v>
      </c>
      <c r="D546" s="1850" t="s">
        <v>2690</v>
      </c>
      <c r="E546" s="1850" t="s">
        <v>2691</v>
      </c>
      <c r="F546" s="1850" t="s">
        <v>2692</v>
      </c>
      <c r="G546" s="1850" t="s">
        <v>2693</v>
      </c>
      <c r="H546" s="1850" t="s">
        <v>22</v>
      </c>
      <c r="I546" s="1850" t="s">
        <v>909</v>
      </c>
    </row>
    <row customHeight="1" ht="11.25">
      <c r="A547" s="1850" t="s">
        <v>2246</v>
      </c>
      <c r="B547" s="1850" t="s">
        <v>16</v>
      </c>
      <c r="C547" s="1850" t="s">
        <v>2694</v>
      </c>
      <c r="D547" s="1850" t="s">
        <v>2690</v>
      </c>
      <c r="E547" s="1850" t="s">
        <v>2691</v>
      </c>
      <c r="F547" s="1850" t="s">
        <v>2695</v>
      </c>
      <c r="G547" s="1850" t="s">
        <v>22</v>
      </c>
      <c r="H547" s="1850" t="s">
        <v>22</v>
      </c>
      <c r="I547" s="1850" t="s">
        <v>909</v>
      </c>
    </row>
    <row customHeight="1" ht="11.25">
      <c r="A548" s="1850" t="s">
        <v>2246</v>
      </c>
      <c r="B548" s="1850" t="s">
        <v>16</v>
      </c>
      <c r="C548" s="1850" t="s">
        <v>3190</v>
      </c>
      <c r="D548" s="1850" t="s">
        <v>3191</v>
      </c>
      <c r="E548" s="1850" t="s">
        <v>3192</v>
      </c>
      <c r="F548" s="1850" t="s">
        <v>2499</v>
      </c>
      <c r="G548" s="1850" t="s">
        <v>3193</v>
      </c>
      <c r="H548" s="1850" t="s">
        <v>22</v>
      </c>
      <c r="I548" s="1850" t="s">
        <v>909</v>
      </c>
    </row>
    <row customHeight="1" ht="11.25">
      <c r="A549" s="1850" t="s">
        <v>2246</v>
      </c>
      <c r="B549" s="1850" t="s">
        <v>16</v>
      </c>
      <c r="C549" s="1850" t="s">
        <v>2712</v>
      </c>
      <c r="D549" s="1850" t="s">
        <v>2713</v>
      </c>
      <c r="E549" s="1850" t="s">
        <v>2714</v>
      </c>
      <c r="F549" s="1850" t="s">
        <v>2492</v>
      </c>
      <c r="G549" s="1850" t="s">
        <v>22</v>
      </c>
      <c r="H549" s="1850" t="s">
        <v>22</v>
      </c>
      <c r="I549" s="1850" t="s">
        <v>909</v>
      </c>
    </row>
    <row customHeight="1" ht="11.25">
      <c r="A550" s="1850" t="s">
        <v>2246</v>
      </c>
      <c r="B550" s="1850" t="s">
        <v>16</v>
      </c>
      <c r="C550" s="1850" t="s">
        <v>2715</v>
      </c>
      <c r="D550" s="1850" t="s">
        <v>2716</v>
      </c>
      <c r="E550" s="1850" t="s">
        <v>2717</v>
      </c>
      <c r="F550" s="1850" t="s">
        <v>2557</v>
      </c>
      <c r="G550" s="1850" t="s">
        <v>22</v>
      </c>
      <c r="H550" s="1850" t="s">
        <v>22</v>
      </c>
      <c r="I550" s="1850" t="s">
        <v>909</v>
      </c>
    </row>
    <row customHeight="1" ht="11.25">
      <c r="A551" s="1850" t="s">
        <v>2246</v>
      </c>
      <c r="B551" s="1850" t="s">
        <v>16</v>
      </c>
      <c r="C551" s="1850" t="s">
        <v>2718</v>
      </c>
      <c r="D551" s="1850" t="s">
        <v>2719</v>
      </c>
      <c r="E551" s="1850" t="s">
        <v>2720</v>
      </c>
      <c r="F551" s="1850" t="s">
        <v>2250</v>
      </c>
      <c r="G551" s="1850" t="s">
        <v>22</v>
      </c>
      <c r="H551" s="1850" t="s">
        <v>22</v>
      </c>
      <c r="I551" s="1850" t="s">
        <v>909</v>
      </c>
    </row>
    <row customHeight="1" ht="11.25">
      <c r="A552" s="1850" t="s">
        <v>2246</v>
      </c>
      <c r="B552" s="1850" t="s">
        <v>16</v>
      </c>
      <c r="C552" s="1850" t="s">
        <v>2721</v>
      </c>
      <c r="D552" s="1850" t="s">
        <v>2722</v>
      </c>
      <c r="E552" s="1850" t="s">
        <v>2723</v>
      </c>
      <c r="F552" s="1850" t="s">
        <v>2250</v>
      </c>
      <c r="G552" s="1850" t="s">
        <v>22</v>
      </c>
      <c r="H552" s="1850" t="s">
        <v>22</v>
      </c>
      <c r="I552" s="1850" t="s">
        <v>909</v>
      </c>
    </row>
    <row customHeight="1" ht="11.25">
      <c r="A553" s="1850" t="s">
        <v>2246</v>
      </c>
      <c r="B553" s="1850" t="s">
        <v>16</v>
      </c>
      <c r="C553" s="1850" t="s">
        <v>2724</v>
      </c>
      <c r="D553" s="1850" t="s">
        <v>2725</v>
      </c>
      <c r="E553" s="1850" t="s">
        <v>2726</v>
      </c>
      <c r="F553" s="1850" t="s">
        <v>2250</v>
      </c>
      <c r="G553" s="1850" t="s">
        <v>22</v>
      </c>
      <c r="H553" s="1850" t="s">
        <v>22</v>
      </c>
      <c r="I553" s="1850" t="s">
        <v>909</v>
      </c>
    </row>
    <row customHeight="1" ht="11.25">
      <c r="A554" s="1850" t="s">
        <v>2246</v>
      </c>
      <c r="B554" s="1850" t="s">
        <v>16</v>
      </c>
      <c r="C554" s="1850" t="s">
        <v>2727</v>
      </c>
      <c r="D554" s="1850" t="s">
        <v>2728</v>
      </c>
      <c r="E554" s="1850" t="s">
        <v>2729</v>
      </c>
      <c r="F554" s="1850" t="s">
        <v>2250</v>
      </c>
      <c r="G554" s="1850" t="s">
        <v>22</v>
      </c>
      <c r="H554" s="1850" t="s">
        <v>22</v>
      </c>
      <c r="I554" s="1850" t="s">
        <v>909</v>
      </c>
    </row>
    <row customHeight="1" ht="11.25">
      <c r="A555" s="1850" t="s">
        <v>2246</v>
      </c>
      <c r="B555" s="1850" t="s">
        <v>16</v>
      </c>
      <c r="C555" s="1850" t="s">
        <v>2730</v>
      </c>
      <c r="D555" s="1850" t="s">
        <v>2731</v>
      </c>
      <c r="E555" s="1850" t="s">
        <v>2732</v>
      </c>
      <c r="F555" s="1850" t="s">
        <v>2361</v>
      </c>
      <c r="G555" s="1850" t="s">
        <v>22</v>
      </c>
      <c r="H555" s="1850" t="s">
        <v>22</v>
      </c>
      <c r="I555" s="1850" t="s">
        <v>909</v>
      </c>
    </row>
    <row customHeight="1" ht="11.25">
      <c r="A556" s="1850" t="s">
        <v>2246</v>
      </c>
      <c r="B556" s="1850" t="s">
        <v>16</v>
      </c>
      <c r="C556" s="1850" t="s">
        <v>2733</v>
      </c>
      <c r="D556" s="1850" t="s">
        <v>2734</v>
      </c>
      <c r="E556" s="1850" t="s">
        <v>2735</v>
      </c>
      <c r="F556" s="1850" t="s">
        <v>2492</v>
      </c>
      <c r="G556" s="1850" t="s">
        <v>22</v>
      </c>
      <c r="H556" s="1850" t="s">
        <v>22</v>
      </c>
      <c r="I556" s="1850" t="s">
        <v>909</v>
      </c>
    </row>
    <row customHeight="1" ht="11.25">
      <c r="A557" s="1850" t="s">
        <v>2246</v>
      </c>
      <c r="B557" s="1850" t="s">
        <v>16</v>
      </c>
      <c r="C557" s="1850" t="s">
        <v>2742</v>
      </c>
      <c r="D557" s="1850" t="s">
        <v>2740</v>
      </c>
      <c r="E557" s="1850" t="s">
        <v>2743</v>
      </c>
      <c r="F557" s="1850" t="s">
        <v>2744</v>
      </c>
      <c r="G557" s="1850" t="s">
        <v>22</v>
      </c>
      <c r="H557" s="1850" t="s">
        <v>22</v>
      </c>
      <c r="I557" s="1850" t="s">
        <v>909</v>
      </c>
    </row>
    <row customHeight="1" ht="11.25">
      <c r="A558" s="1850" t="s">
        <v>2246</v>
      </c>
      <c r="B558" s="1850" t="s">
        <v>16</v>
      </c>
      <c r="C558" s="1850" t="s">
        <v>3198</v>
      </c>
      <c r="D558" s="1850" t="s">
        <v>2749</v>
      </c>
      <c r="E558" s="1850" t="s">
        <v>3199</v>
      </c>
      <c r="F558" s="1850" t="s">
        <v>2492</v>
      </c>
      <c r="G558" s="1850" t="s">
        <v>22</v>
      </c>
      <c r="H558" s="1850" t="s">
        <v>3200</v>
      </c>
      <c r="I558" s="1850" t="s">
        <v>909</v>
      </c>
    </row>
    <row customHeight="1" ht="11.25">
      <c r="A559" s="1850" t="s">
        <v>2246</v>
      </c>
      <c r="B559" s="1850" t="s">
        <v>16</v>
      </c>
      <c r="C559" s="1850" t="s">
        <v>3201</v>
      </c>
      <c r="D559" s="1850" t="s">
        <v>3202</v>
      </c>
      <c r="E559" s="1850" t="s">
        <v>3203</v>
      </c>
      <c r="F559" s="1850" t="s">
        <v>2562</v>
      </c>
      <c r="G559" s="1850" t="s">
        <v>22</v>
      </c>
      <c r="H559" s="1850" t="s">
        <v>22</v>
      </c>
      <c r="I559" s="1850" t="s">
        <v>909</v>
      </c>
    </row>
    <row customHeight="1" ht="11.25">
      <c r="A560" s="1850" t="s">
        <v>2246</v>
      </c>
      <c r="B560" s="1850" t="s">
        <v>16</v>
      </c>
      <c r="C560" s="1850" t="s">
        <v>2751</v>
      </c>
      <c r="D560" s="1850" t="s">
        <v>2752</v>
      </c>
      <c r="E560" s="1850" t="s">
        <v>2753</v>
      </c>
      <c r="F560" s="1850" t="s">
        <v>2254</v>
      </c>
      <c r="G560" s="1850" t="s">
        <v>22</v>
      </c>
      <c r="H560" s="1850" t="s">
        <v>22</v>
      </c>
      <c r="I560" s="1850" t="s">
        <v>909</v>
      </c>
    </row>
    <row customHeight="1" ht="11.25">
      <c r="A561" s="1850" t="s">
        <v>2246</v>
      </c>
      <c r="B561" s="1850" t="s">
        <v>16</v>
      </c>
      <c r="C561" s="1850" t="s">
        <v>2764</v>
      </c>
      <c r="D561" s="1850" t="s">
        <v>2765</v>
      </c>
      <c r="E561" s="1850" t="s">
        <v>2766</v>
      </c>
      <c r="F561" s="1850" t="s">
        <v>2321</v>
      </c>
      <c r="G561" s="1850" t="s">
        <v>22</v>
      </c>
      <c r="H561" s="1850" t="s">
        <v>22</v>
      </c>
      <c r="I561" s="1850" t="s">
        <v>909</v>
      </c>
    </row>
    <row customHeight="1" ht="11.25">
      <c r="A562" s="1850" t="s">
        <v>2246</v>
      </c>
      <c r="B562" s="1850" t="s">
        <v>16</v>
      </c>
      <c r="C562" s="1850" t="s">
        <v>2767</v>
      </c>
      <c r="D562" s="1850" t="s">
        <v>2768</v>
      </c>
      <c r="E562" s="1850" t="s">
        <v>2769</v>
      </c>
      <c r="F562" s="1850" t="s">
        <v>2770</v>
      </c>
      <c r="G562" s="1850" t="s">
        <v>2771</v>
      </c>
      <c r="H562" s="1850" t="s">
        <v>22</v>
      </c>
      <c r="I562" s="1850" t="s">
        <v>909</v>
      </c>
    </row>
    <row customHeight="1" ht="11.25">
      <c r="A563" s="1850" t="s">
        <v>2246</v>
      </c>
      <c r="B563" s="1850" t="s">
        <v>16</v>
      </c>
      <c r="C563" s="1850" t="s">
        <v>3076</v>
      </c>
      <c r="D563" s="1850" t="s">
        <v>3077</v>
      </c>
      <c r="E563" s="1850" t="s">
        <v>3078</v>
      </c>
      <c r="F563" s="1850" t="s">
        <v>2529</v>
      </c>
      <c r="G563" s="1850" t="s">
        <v>3079</v>
      </c>
      <c r="H563" s="1850" t="s">
        <v>22</v>
      </c>
      <c r="I563" s="1850" t="s">
        <v>909</v>
      </c>
    </row>
    <row customHeight="1" ht="11.25">
      <c r="A564" s="1850" t="s">
        <v>2246</v>
      </c>
      <c r="B564" s="1850" t="s">
        <v>16</v>
      </c>
      <c r="C564" s="1850" t="s">
        <v>2772</v>
      </c>
      <c r="D564" s="1850" t="s">
        <v>2773</v>
      </c>
      <c r="E564" s="1850" t="s">
        <v>2774</v>
      </c>
      <c r="F564" s="1850" t="s">
        <v>2492</v>
      </c>
      <c r="G564" s="1850" t="s">
        <v>22</v>
      </c>
      <c r="H564" s="1850" t="s">
        <v>22</v>
      </c>
      <c r="I564" s="1850" t="s">
        <v>909</v>
      </c>
    </row>
    <row customHeight="1" ht="11.25">
      <c r="A565" s="1850" t="s">
        <v>2246</v>
      </c>
      <c r="B565" s="1850" t="s">
        <v>16</v>
      </c>
      <c r="C565" s="1850" t="s">
        <v>2775</v>
      </c>
      <c r="D565" s="1850" t="s">
        <v>2776</v>
      </c>
      <c r="E565" s="1850" t="s">
        <v>2777</v>
      </c>
      <c r="F565" s="1850" t="s">
        <v>2361</v>
      </c>
      <c r="G565" s="1850" t="s">
        <v>22</v>
      </c>
      <c r="H565" s="1850" t="s">
        <v>22</v>
      </c>
      <c r="I565" s="1850" t="s">
        <v>909</v>
      </c>
    </row>
    <row customHeight="1" ht="11.25">
      <c r="A566" s="1850" t="s">
        <v>2246</v>
      </c>
      <c r="B566" s="1850" t="s">
        <v>16</v>
      </c>
      <c r="C566" s="1850" t="s">
        <v>2781</v>
      </c>
      <c r="D566" s="1850" t="s">
        <v>2782</v>
      </c>
      <c r="E566" s="1850" t="s">
        <v>2783</v>
      </c>
      <c r="F566" s="1850" t="s">
        <v>2345</v>
      </c>
      <c r="G566" s="1850" t="s">
        <v>22</v>
      </c>
      <c r="H566" s="1850" t="s">
        <v>22</v>
      </c>
      <c r="I566" s="1850" t="s">
        <v>909</v>
      </c>
    </row>
    <row customHeight="1" ht="11.25">
      <c r="A567" s="1850" t="s">
        <v>2246</v>
      </c>
      <c r="B567" s="1850" t="s">
        <v>16</v>
      </c>
      <c r="C567" s="1850" t="s">
        <v>2791</v>
      </c>
      <c r="D567" s="1850" t="s">
        <v>2792</v>
      </c>
      <c r="E567" s="1850" t="s">
        <v>2793</v>
      </c>
      <c r="F567" s="1850" t="s">
        <v>2345</v>
      </c>
      <c r="G567" s="1850" t="s">
        <v>22</v>
      </c>
      <c r="H567" s="1850" t="s">
        <v>22</v>
      </c>
      <c r="I567" s="1850" t="s">
        <v>909</v>
      </c>
    </row>
    <row customHeight="1" ht="11.25">
      <c r="A568" s="1850" t="s">
        <v>2246</v>
      </c>
      <c r="B568" s="1850" t="s">
        <v>16</v>
      </c>
      <c r="C568" s="1850" t="s">
        <v>2794</v>
      </c>
      <c r="D568" s="1850" t="s">
        <v>2795</v>
      </c>
      <c r="E568" s="1850" t="s">
        <v>2796</v>
      </c>
      <c r="F568" s="1850" t="s">
        <v>2361</v>
      </c>
      <c r="G568" s="1850" t="s">
        <v>2478</v>
      </c>
      <c r="H568" s="1850" t="s">
        <v>22</v>
      </c>
      <c r="I568" s="1850" t="s">
        <v>909</v>
      </c>
    </row>
    <row customHeight="1" ht="11.25">
      <c r="A569" s="1850" t="s">
        <v>2246</v>
      </c>
      <c r="B569" s="1850" t="s">
        <v>16</v>
      </c>
      <c r="C569" s="1850" t="s">
        <v>2800</v>
      </c>
      <c r="D569" s="1850" t="s">
        <v>2801</v>
      </c>
      <c r="E569" s="1850" t="s">
        <v>2802</v>
      </c>
      <c r="F569" s="1850" t="s">
        <v>2492</v>
      </c>
      <c r="G569" s="1850" t="s">
        <v>22</v>
      </c>
      <c r="H569" s="1850" t="s">
        <v>22</v>
      </c>
      <c r="I569" s="1850" t="s">
        <v>909</v>
      </c>
    </row>
    <row customHeight="1" ht="11.25">
      <c r="A570" s="1850" t="s">
        <v>2246</v>
      </c>
      <c r="B570" s="1850" t="s">
        <v>16</v>
      </c>
      <c r="C570" s="1850" t="s">
        <v>2803</v>
      </c>
      <c r="D570" s="1850" t="s">
        <v>2804</v>
      </c>
      <c r="E570" s="1850" t="s">
        <v>2805</v>
      </c>
      <c r="F570" s="1850" t="s">
        <v>2503</v>
      </c>
      <c r="G570" s="1850" t="s">
        <v>22</v>
      </c>
      <c r="H570" s="1850" t="s">
        <v>22</v>
      </c>
      <c r="I570" s="1850" t="s">
        <v>909</v>
      </c>
    </row>
    <row customHeight="1" ht="11.25">
      <c r="A571" s="1850" t="s">
        <v>2246</v>
      </c>
      <c r="B571" s="1850" t="s">
        <v>16</v>
      </c>
      <c r="C571" s="1850" t="s">
        <v>2815</v>
      </c>
      <c r="D571" s="1850" t="s">
        <v>2816</v>
      </c>
      <c r="E571" s="1850" t="s">
        <v>2817</v>
      </c>
      <c r="F571" s="1850" t="s">
        <v>2672</v>
      </c>
      <c r="G571" s="1850" t="s">
        <v>22</v>
      </c>
      <c r="H571" s="1850" t="s">
        <v>22</v>
      </c>
      <c r="I571" s="1850" t="s">
        <v>909</v>
      </c>
    </row>
    <row customHeight="1" ht="11.25">
      <c r="A572" s="1850" t="s">
        <v>2246</v>
      </c>
      <c r="B572" s="1850" t="s">
        <v>16</v>
      </c>
      <c r="C572" s="1850" t="s">
        <v>3269</v>
      </c>
      <c r="D572" s="1850" t="s">
        <v>3270</v>
      </c>
      <c r="E572" s="1850" t="s">
        <v>3271</v>
      </c>
      <c r="F572" s="1850" t="s">
        <v>2557</v>
      </c>
      <c r="G572" s="1850" t="s">
        <v>22</v>
      </c>
      <c r="H572" s="1850" t="s">
        <v>22</v>
      </c>
      <c r="I572" s="1850" t="s">
        <v>909</v>
      </c>
    </row>
    <row customHeight="1" ht="11.25">
      <c r="A573" s="1850" t="s">
        <v>2246</v>
      </c>
      <c r="B573" s="1850" t="s">
        <v>16</v>
      </c>
      <c r="C573" s="1850" t="s">
        <v>2824</v>
      </c>
      <c r="D573" s="1850" t="s">
        <v>2825</v>
      </c>
      <c r="E573" s="1850" t="s">
        <v>2826</v>
      </c>
      <c r="F573" s="1850" t="s">
        <v>2492</v>
      </c>
      <c r="G573" s="1850" t="s">
        <v>22</v>
      </c>
      <c r="H573" s="1850" t="s">
        <v>22</v>
      </c>
      <c r="I573" s="1850" t="s">
        <v>909</v>
      </c>
    </row>
    <row customHeight="1" ht="11.25">
      <c r="A574" s="1850" t="s">
        <v>2246</v>
      </c>
      <c r="B574" s="1850" t="s">
        <v>16</v>
      </c>
      <c r="C574" s="1850" t="s">
        <v>3210</v>
      </c>
      <c r="D574" s="1850" t="s">
        <v>3211</v>
      </c>
      <c r="E574" s="1850" t="s">
        <v>3212</v>
      </c>
      <c r="F574" s="1850" t="s">
        <v>2492</v>
      </c>
      <c r="G574" s="1850" t="s">
        <v>22</v>
      </c>
      <c r="H574" s="1850" t="s">
        <v>22</v>
      </c>
      <c r="I574" s="1850" t="s">
        <v>909</v>
      </c>
    </row>
    <row customHeight="1" ht="11.25">
      <c r="A575" s="1850" t="s">
        <v>2246</v>
      </c>
      <c r="B575" s="1850" t="s">
        <v>16</v>
      </c>
      <c r="C575" s="1850" t="s">
        <v>3213</v>
      </c>
      <c r="D575" s="1850" t="s">
        <v>3214</v>
      </c>
      <c r="E575" s="1850" t="s">
        <v>3215</v>
      </c>
      <c r="F575" s="1850" t="s">
        <v>2552</v>
      </c>
      <c r="G575" s="1850" t="s">
        <v>22</v>
      </c>
      <c r="H575" s="1850" t="s">
        <v>22</v>
      </c>
      <c r="I575" s="1850" t="s">
        <v>909</v>
      </c>
    </row>
    <row customHeight="1" ht="11.25">
      <c r="A576" s="1850" t="s">
        <v>2246</v>
      </c>
      <c r="B576" s="1850" t="s">
        <v>16</v>
      </c>
      <c r="C576" s="1850" t="s">
        <v>2836</v>
      </c>
      <c r="D576" s="1850" t="s">
        <v>2837</v>
      </c>
      <c r="E576" s="1850" t="s">
        <v>2838</v>
      </c>
      <c r="F576" s="1850" t="s">
        <v>2353</v>
      </c>
      <c r="G576" s="1850" t="s">
        <v>22</v>
      </c>
      <c r="H576" s="1850" t="s">
        <v>22</v>
      </c>
      <c r="I576" s="1850" t="s">
        <v>909</v>
      </c>
    </row>
    <row customHeight="1" ht="11.25">
      <c r="A577" s="1850" t="s">
        <v>2246</v>
      </c>
      <c r="B577" s="1850" t="s">
        <v>16</v>
      </c>
      <c r="C577" s="1850" t="s">
        <v>2839</v>
      </c>
      <c r="D577" s="1850" t="s">
        <v>2840</v>
      </c>
      <c r="E577" s="1850" t="s">
        <v>2841</v>
      </c>
      <c r="F577" s="1850" t="s">
        <v>2298</v>
      </c>
      <c r="G577" s="1850" t="s">
        <v>2842</v>
      </c>
      <c r="H577" s="1850" t="s">
        <v>22</v>
      </c>
      <c r="I577" s="1850" t="s">
        <v>909</v>
      </c>
    </row>
    <row customHeight="1" ht="11.25">
      <c r="A578" s="1850" t="s">
        <v>2246</v>
      </c>
      <c r="B578" s="1850" t="s">
        <v>16</v>
      </c>
      <c r="C578" s="1850" t="s">
        <v>2843</v>
      </c>
      <c r="D578" s="1850" t="s">
        <v>2844</v>
      </c>
      <c r="E578" s="1850" t="s">
        <v>2845</v>
      </c>
      <c r="F578" s="1850" t="s">
        <v>2361</v>
      </c>
      <c r="G578" s="1850" t="s">
        <v>22</v>
      </c>
      <c r="H578" s="1850" t="s">
        <v>22</v>
      </c>
      <c r="I578" s="1850" t="s">
        <v>909</v>
      </c>
    </row>
    <row customHeight="1" ht="11.25">
      <c r="A579" s="1850" t="s">
        <v>2246</v>
      </c>
      <c r="B579" s="1850" t="s">
        <v>16</v>
      </c>
      <c r="C579" s="1850" t="s">
        <v>2846</v>
      </c>
      <c r="D579" s="1850" t="s">
        <v>2847</v>
      </c>
      <c r="E579" s="1850" t="s">
        <v>2848</v>
      </c>
      <c r="F579" s="1850" t="s">
        <v>2313</v>
      </c>
      <c r="G579" s="1850" t="s">
        <v>22</v>
      </c>
      <c r="H579" s="1850" t="s">
        <v>22</v>
      </c>
      <c r="I579" s="1850" t="s">
        <v>909</v>
      </c>
    </row>
    <row customHeight="1" ht="11.25">
      <c r="A580" s="1850" t="s">
        <v>2246</v>
      </c>
      <c r="B580" s="1850" t="s">
        <v>16</v>
      </c>
      <c r="C580" s="1850" t="s">
        <v>2852</v>
      </c>
      <c r="D580" s="1850" t="s">
        <v>2853</v>
      </c>
      <c r="E580" s="1850" t="s">
        <v>2854</v>
      </c>
      <c r="F580" s="1850" t="s">
        <v>2593</v>
      </c>
      <c r="G580" s="1850" t="s">
        <v>22</v>
      </c>
      <c r="H580" s="1850" t="s">
        <v>22</v>
      </c>
      <c r="I580" s="1850" t="s">
        <v>909</v>
      </c>
    </row>
    <row customHeight="1" ht="11.25">
      <c r="A581" s="1850" t="s">
        <v>2246</v>
      </c>
      <c r="B581" s="1850" t="s">
        <v>16</v>
      </c>
      <c r="C581" s="1850" t="s">
        <v>2873</v>
      </c>
      <c r="D581" s="1850" t="s">
        <v>2874</v>
      </c>
      <c r="E581" s="1850" t="s">
        <v>2875</v>
      </c>
      <c r="F581" s="1850" t="s">
        <v>2250</v>
      </c>
      <c r="G581" s="1850" t="s">
        <v>22</v>
      </c>
      <c r="H581" s="1850" t="s">
        <v>22</v>
      </c>
      <c r="I581" s="1850" t="s">
        <v>909</v>
      </c>
    </row>
    <row customHeight="1" ht="11.25">
      <c r="A582" s="1850" t="s">
        <v>2246</v>
      </c>
      <c r="B582" s="1850" t="s">
        <v>16</v>
      </c>
      <c r="C582" s="1850" t="s">
        <v>2888</v>
      </c>
      <c r="D582" s="1850" t="s">
        <v>2889</v>
      </c>
      <c r="E582" s="1850" t="s">
        <v>2890</v>
      </c>
      <c r="F582" s="1850" t="s">
        <v>2452</v>
      </c>
      <c r="G582" s="1850" t="s">
        <v>22</v>
      </c>
      <c r="H582" s="1850" t="s">
        <v>22</v>
      </c>
      <c r="I582" s="1850" t="s">
        <v>909</v>
      </c>
    </row>
    <row customHeight="1" ht="11.25">
      <c r="A583" s="1850" t="s">
        <v>2246</v>
      </c>
      <c r="B583" s="1850" t="s">
        <v>16</v>
      </c>
      <c r="C583" s="1850" t="s">
        <v>3272</v>
      </c>
      <c r="D583" s="1850" t="s">
        <v>3273</v>
      </c>
      <c r="E583" s="1850" t="s">
        <v>3274</v>
      </c>
      <c r="F583" s="1850" t="s">
        <v>2306</v>
      </c>
      <c r="G583" s="1850" t="s">
        <v>22</v>
      </c>
      <c r="H583" s="1850" t="s">
        <v>22</v>
      </c>
      <c r="I583" s="1850" t="s">
        <v>909</v>
      </c>
    </row>
    <row customHeight="1" ht="11.25">
      <c r="A584" s="1850" t="s">
        <v>2246</v>
      </c>
      <c r="B584" s="1850" t="s">
        <v>16</v>
      </c>
      <c r="C584" s="1850" t="s">
        <v>2934</v>
      </c>
      <c r="D584" s="1850" t="s">
        <v>2935</v>
      </c>
      <c r="E584" s="1850" t="s">
        <v>2936</v>
      </c>
      <c r="F584" s="1850" t="s">
        <v>2331</v>
      </c>
      <c r="G584" s="1850" t="s">
        <v>22</v>
      </c>
      <c r="H584" s="1850" t="s">
        <v>22</v>
      </c>
      <c r="I584" s="1850" t="s">
        <v>909</v>
      </c>
    </row>
    <row customHeight="1" ht="11.25">
      <c r="A585" s="1850" t="s">
        <v>2246</v>
      </c>
      <c r="B585" s="1850" t="s">
        <v>16</v>
      </c>
      <c r="C585" s="1850" t="s">
        <v>3219</v>
      </c>
      <c r="D585" s="1850" t="s">
        <v>3220</v>
      </c>
      <c r="E585" s="1850" t="s">
        <v>3221</v>
      </c>
      <c r="F585" s="1850" t="s">
        <v>2331</v>
      </c>
      <c r="G585" s="1850" t="s">
        <v>22</v>
      </c>
      <c r="H585" s="1850" t="s">
        <v>22</v>
      </c>
      <c r="I585" s="1850" t="s">
        <v>909</v>
      </c>
    </row>
    <row customHeight="1" ht="11.25">
      <c r="A586" s="1850" t="s">
        <v>2246</v>
      </c>
      <c r="B586" s="1850" t="s">
        <v>16</v>
      </c>
      <c r="C586" s="1850" t="s">
        <v>2937</v>
      </c>
      <c r="D586" s="1850" t="s">
        <v>2938</v>
      </c>
      <c r="E586" s="1850" t="s">
        <v>2939</v>
      </c>
      <c r="F586" s="1850" t="s">
        <v>2331</v>
      </c>
      <c r="G586" s="1850" t="s">
        <v>22</v>
      </c>
      <c r="H586" s="1850" t="s">
        <v>22</v>
      </c>
      <c r="I586" s="1850" t="s">
        <v>909</v>
      </c>
    </row>
    <row customHeight="1" ht="11.25">
      <c r="A587" s="1850" t="s">
        <v>2246</v>
      </c>
      <c r="B587" s="1850" t="s">
        <v>16</v>
      </c>
      <c r="C587" s="1850" t="s">
        <v>3222</v>
      </c>
      <c r="D587" s="1850" t="s">
        <v>3223</v>
      </c>
      <c r="E587" s="1850" t="s">
        <v>3224</v>
      </c>
      <c r="F587" s="1850" t="s">
        <v>2298</v>
      </c>
      <c r="G587" s="1850" t="s">
        <v>3225</v>
      </c>
      <c r="H587" s="1850" t="s">
        <v>22</v>
      </c>
      <c r="I587" s="1850" t="s">
        <v>909</v>
      </c>
    </row>
    <row customHeight="1" ht="11.25">
      <c r="A588" s="1850" t="s">
        <v>2246</v>
      </c>
      <c r="B588" s="1850" t="s">
        <v>16</v>
      </c>
      <c r="C588" s="1850" t="s">
        <v>2957</v>
      </c>
      <c r="D588" s="1850" t="s">
        <v>2958</v>
      </c>
      <c r="E588" s="1850" t="s">
        <v>2959</v>
      </c>
      <c r="F588" s="1850" t="s">
        <v>2345</v>
      </c>
      <c r="G588" s="1850" t="s">
        <v>22</v>
      </c>
      <c r="H588" s="1850" t="s">
        <v>22</v>
      </c>
      <c r="I588" s="1850" t="s">
        <v>909</v>
      </c>
    </row>
    <row customHeight="1" ht="11.25">
      <c r="A589" s="1850" t="s">
        <v>2246</v>
      </c>
      <c r="B589" s="1850" t="s">
        <v>16</v>
      </c>
      <c r="C589" s="1850" t="s">
        <v>2960</v>
      </c>
      <c r="D589" s="1850" t="s">
        <v>2961</v>
      </c>
      <c r="E589" s="1850" t="s">
        <v>2962</v>
      </c>
      <c r="F589" s="1850" t="s">
        <v>2345</v>
      </c>
      <c r="G589" s="1850" t="s">
        <v>22</v>
      </c>
      <c r="H589" s="1850" t="s">
        <v>22</v>
      </c>
      <c r="I589" s="1850" t="s">
        <v>909</v>
      </c>
    </row>
    <row customHeight="1" ht="11.25">
      <c r="A590" s="1850" t="s">
        <v>2246</v>
      </c>
      <c r="B590" s="1850" t="s">
        <v>16</v>
      </c>
      <c r="C590" s="1850" t="s">
        <v>3080</v>
      </c>
      <c r="D590" s="1850" t="s">
        <v>3081</v>
      </c>
      <c r="E590" s="1850" t="s">
        <v>3082</v>
      </c>
      <c r="F590" s="1850" t="s">
        <v>3083</v>
      </c>
      <c r="G590" s="1850" t="s">
        <v>22</v>
      </c>
      <c r="H590" s="1850" t="s">
        <v>22</v>
      </c>
      <c r="I590" s="1850" t="s">
        <v>909</v>
      </c>
    </row>
    <row customHeight="1" ht="11.25">
      <c r="A591" s="1850" t="s">
        <v>2246</v>
      </c>
      <c r="B591" s="1850" t="s">
        <v>16</v>
      </c>
      <c r="C591" s="1850" t="s">
        <v>2966</v>
      </c>
      <c r="D591" s="1850" t="s">
        <v>2967</v>
      </c>
      <c r="E591" s="1850" t="s">
        <v>2968</v>
      </c>
      <c r="F591" s="1850" t="s">
        <v>2254</v>
      </c>
      <c r="G591" s="1850" t="s">
        <v>22</v>
      </c>
      <c r="H591" s="1850" t="s">
        <v>22</v>
      </c>
      <c r="I591" s="1850" t="s">
        <v>909</v>
      </c>
    </row>
    <row customHeight="1" ht="11.25">
      <c r="A592" s="1850" t="s">
        <v>2246</v>
      </c>
      <c r="B592" s="1850" t="s">
        <v>16</v>
      </c>
      <c r="C592" s="1850" t="s">
        <v>2984</v>
      </c>
      <c r="D592" s="1850" t="s">
        <v>2985</v>
      </c>
      <c r="E592" s="1850" t="s">
        <v>2986</v>
      </c>
      <c r="F592" s="1850" t="s">
        <v>2525</v>
      </c>
      <c r="G592" s="1850" t="s">
        <v>2987</v>
      </c>
      <c r="H592" s="1850" t="s">
        <v>22</v>
      </c>
      <c r="I592" s="1850" t="s">
        <v>909</v>
      </c>
    </row>
    <row customHeight="1" ht="11.25">
      <c r="A593" s="1850" t="s">
        <v>2246</v>
      </c>
      <c r="B593" s="1850" t="s">
        <v>16</v>
      </c>
      <c r="C593" s="1850" t="s">
        <v>3229</v>
      </c>
      <c r="D593" s="1850" t="s">
        <v>3230</v>
      </c>
      <c r="E593" s="1850" t="s">
        <v>3231</v>
      </c>
      <c r="F593" s="1850" t="s">
        <v>2331</v>
      </c>
      <c r="G593" s="1850" t="s">
        <v>22</v>
      </c>
      <c r="H593" s="1850" t="s">
        <v>22</v>
      </c>
      <c r="I593" s="1850" t="s">
        <v>909</v>
      </c>
    </row>
    <row customHeight="1" ht="11.25">
      <c r="A594" s="1850" t="s">
        <v>2246</v>
      </c>
      <c r="B594" s="1850" t="s">
        <v>16</v>
      </c>
      <c r="C594" s="1850" t="s">
        <v>13</v>
      </c>
      <c r="D594" s="1850" t="s">
        <v>46</v>
      </c>
      <c r="E594" s="1850" t="s">
        <v>49</v>
      </c>
      <c r="F594" s="1850" t="s">
        <v>51</v>
      </c>
      <c r="G594" s="1850" t="s">
        <v>22</v>
      </c>
      <c r="H594" s="1850" t="s">
        <v>22</v>
      </c>
      <c r="I594" s="1850" t="s">
        <v>909</v>
      </c>
    </row>
    <row customHeight="1" ht="11.25">
      <c r="A595" s="1850" t="s">
        <v>2246</v>
      </c>
      <c r="B595" s="1850" t="s">
        <v>16</v>
      </c>
      <c r="C595" s="1850" t="s">
        <v>3016</v>
      </c>
      <c r="D595" s="1850" t="s">
        <v>3017</v>
      </c>
      <c r="E595" s="1850" t="s">
        <v>3018</v>
      </c>
      <c r="F595" s="1850" t="s">
        <v>2306</v>
      </c>
      <c r="G595" s="1850" t="s">
        <v>22</v>
      </c>
      <c r="H595" s="1850" t="s">
        <v>22</v>
      </c>
      <c r="I595" s="1850" t="s">
        <v>909</v>
      </c>
    </row>
    <row customHeight="1" ht="11.25">
      <c r="A596" s="1850" t="s">
        <v>2246</v>
      </c>
      <c r="B596" s="1850" t="s">
        <v>16</v>
      </c>
      <c r="C596" s="1850" t="s">
        <v>3022</v>
      </c>
      <c r="D596" s="1850" t="s">
        <v>3020</v>
      </c>
      <c r="E596" s="1850" t="s">
        <v>3021</v>
      </c>
      <c r="F596" s="1850" t="s">
        <v>3023</v>
      </c>
      <c r="G596" s="1850" t="s">
        <v>22</v>
      </c>
      <c r="H596" s="1850" t="s">
        <v>22</v>
      </c>
      <c r="I596" s="1850" t="s">
        <v>909</v>
      </c>
    </row>
    <row customHeight="1" ht="11.25">
      <c r="A597" s="1850" t="s">
        <v>2246</v>
      </c>
      <c r="B597" s="1850" t="s">
        <v>16</v>
      </c>
      <c r="C597" s="1850" t="s">
        <v>3244</v>
      </c>
      <c r="D597" s="1850" t="s">
        <v>3245</v>
      </c>
      <c r="E597" s="1850" t="s">
        <v>3246</v>
      </c>
      <c r="F597" s="1850" t="s">
        <v>2672</v>
      </c>
      <c r="G597" s="1850" t="s">
        <v>22</v>
      </c>
      <c r="H597" s="1850" t="s">
        <v>22</v>
      </c>
      <c r="I597" s="1850" t="s">
        <v>909</v>
      </c>
    </row>
    <row customHeight="1" ht="11.25">
      <c r="A598" s="1850" t="s">
        <v>2246</v>
      </c>
      <c r="B598" s="1850" t="s">
        <v>16</v>
      </c>
      <c r="C598" s="1850" t="s">
        <v>3031</v>
      </c>
      <c r="D598" s="1850" t="s">
        <v>3032</v>
      </c>
      <c r="E598" s="1850" t="s">
        <v>3033</v>
      </c>
      <c r="F598" s="1850" t="s">
        <v>2298</v>
      </c>
      <c r="G598" s="1850" t="s">
        <v>22</v>
      </c>
      <c r="H598" s="1850" t="s">
        <v>22</v>
      </c>
      <c r="I598" s="1850" t="s">
        <v>909</v>
      </c>
    </row>
    <row customHeight="1" ht="11.25">
      <c r="A599" s="1850" t="s">
        <v>2246</v>
      </c>
      <c r="B599" s="1850" t="s">
        <v>16</v>
      </c>
      <c r="C599" s="1850" t="s">
        <v>3040</v>
      </c>
      <c r="D599" s="1850" t="s">
        <v>3041</v>
      </c>
      <c r="E599" s="1850" t="s">
        <v>3042</v>
      </c>
      <c r="F599" s="1850" t="s">
        <v>3043</v>
      </c>
      <c r="G599" s="1850" t="s">
        <v>3044</v>
      </c>
      <c r="H599" s="1850" t="s">
        <v>22</v>
      </c>
      <c r="I599" s="1850" t="s">
        <v>909</v>
      </c>
    </row>
    <row customHeight="1" ht="11.25">
      <c r="A600" s="1850" t="s">
        <v>2246</v>
      </c>
      <c r="B600" s="1850" t="s">
        <v>16</v>
      </c>
      <c r="C600" s="1850" t="s">
        <v>3050</v>
      </c>
      <c r="D600" s="1850" t="s">
        <v>3051</v>
      </c>
      <c r="E600" s="1850" t="s">
        <v>3052</v>
      </c>
      <c r="F600" s="1850" t="s">
        <v>3053</v>
      </c>
      <c r="G600" s="1850" t="s">
        <v>22</v>
      </c>
      <c r="H600" s="1850" t="s">
        <v>22</v>
      </c>
      <c r="I600" s="1850" t="s">
        <v>909</v>
      </c>
    </row>
    <row customHeight="1" ht="11.25">
      <c r="A601" s="1850" t="s">
        <v>2246</v>
      </c>
      <c r="B601" s="1850" t="s">
        <v>16</v>
      </c>
      <c r="C601" s="1850" t="s">
        <v>3054</v>
      </c>
      <c r="D601" s="1850" t="s">
        <v>3055</v>
      </c>
      <c r="E601" s="1850" t="s">
        <v>3052</v>
      </c>
      <c r="F601" s="1850" t="s">
        <v>3056</v>
      </c>
      <c r="G601" s="1850" t="s">
        <v>22</v>
      </c>
      <c r="H601" s="1850" t="s">
        <v>22</v>
      </c>
      <c r="I601" s="1850" t="s">
        <v>909</v>
      </c>
    </row>
    <row customHeight="1" ht="11.25">
      <c r="A602" s="1850" t="s">
        <v>2246</v>
      </c>
      <c r="B602" s="1850" t="s">
        <v>16</v>
      </c>
      <c r="C602" s="1850" t="s">
        <v>3275</v>
      </c>
      <c r="D602" s="1850" t="s">
        <v>3276</v>
      </c>
      <c r="E602" s="1850" t="s">
        <v>3277</v>
      </c>
      <c r="F602" s="1850" t="s">
        <v>2492</v>
      </c>
      <c r="G602" s="1850" t="s">
        <v>22</v>
      </c>
      <c r="H602" s="1850" t="s">
        <v>22</v>
      </c>
      <c r="I602" s="1850" t="s">
        <v>909</v>
      </c>
    </row>
    <row customHeight="1" ht="11.25">
      <c r="A603" s="1850" t="s">
        <v>2246</v>
      </c>
      <c r="B603" s="1850" t="s">
        <v>16</v>
      </c>
      <c r="C603" s="1850" t="s">
        <v>3057</v>
      </c>
      <c r="D603" s="1850" t="s">
        <v>3058</v>
      </c>
      <c r="E603" s="1850" t="s">
        <v>3059</v>
      </c>
      <c r="F603" s="1850" t="s">
        <v>2313</v>
      </c>
      <c r="G603" s="1850" t="s">
        <v>22</v>
      </c>
      <c r="H603" s="1850" t="s">
        <v>22</v>
      </c>
      <c r="I603" s="1850" t="s">
        <v>909</v>
      </c>
    </row>
    <row customHeight="1" ht="11.25">
      <c r="A604" s="1850" t="s">
        <v>2246</v>
      </c>
      <c r="B604" s="1850" t="s">
        <v>16</v>
      </c>
      <c r="C604" s="1850" t="s">
        <v>3068</v>
      </c>
      <c r="D604" s="1850" t="s">
        <v>3069</v>
      </c>
      <c r="E604" s="1850" t="s">
        <v>3070</v>
      </c>
      <c r="F604" s="1850" t="s">
        <v>2790</v>
      </c>
      <c r="G604" s="1850" t="s">
        <v>3071</v>
      </c>
      <c r="H604" s="1850" t="s">
        <v>22</v>
      </c>
      <c r="I604" s="1850" t="s">
        <v>909</v>
      </c>
    </row>
    <row customHeight="1" ht="11.25">
      <c r="A605" s="1850" t="s">
        <v>2246</v>
      </c>
      <c r="B605" s="1850" t="s">
        <v>16</v>
      </c>
      <c r="C605" s="1850" t="s">
        <v>3257</v>
      </c>
      <c r="D605" s="1850" t="s">
        <v>3258</v>
      </c>
      <c r="E605" s="1850" t="s">
        <v>3259</v>
      </c>
      <c r="F605" s="1850" t="s">
        <v>2790</v>
      </c>
      <c r="G605" s="1850" t="s">
        <v>22</v>
      </c>
      <c r="H605" s="1850" t="s">
        <v>22</v>
      </c>
      <c r="I605" s="1850" t="s">
        <v>909</v>
      </c>
    </row>
    <row customHeight="1" ht="11.25">
      <c r="A606" s="1850" t="s">
        <v>2246</v>
      </c>
      <c r="B606" s="1850" t="s">
        <v>16</v>
      </c>
      <c r="C606" s="1850" t="s">
        <v>3278</v>
      </c>
      <c r="D606" s="1850" t="s">
        <v>3279</v>
      </c>
      <c r="E606" s="1850" t="s">
        <v>3280</v>
      </c>
      <c r="F606" s="1850" t="s">
        <v>2306</v>
      </c>
      <c r="G606" s="1850" t="s">
        <v>22</v>
      </c>
      <c r="H606" s="1850" t="s">
        <v>22</v>
      </c>
      <c r="I606" s="1850" t="s">
        <v>1619</v>
      </c>
    </row>
    <row customHeight="1" ht="11.25">
      <c r="A607" s="1850" t="s">
        <v>2246</v>
      </c>
      <c r="B607" s="1850" t="s">
        <v>16</v>
      </c>
      <c r="C607" s="1850" t="s">
        <v>3281</v>
      </c>
      <c r="D607" s="1850" t="s">
        <v>3282</v>
      </c>
      <c r="E607" s="1850" t="s">
        <v>3283</v>
      </c>
      <c r="F607" s="1850" t="s">
        <v>577</v>
      </c>
      <c r="G607" s="1850" t="s">
        <v>22</v>
      </c>
      <c r="H607" s="1850" t="s">
        <v>22</v>
      </c>
      <c r="I607" s="1850" t="s">
        <v>1619</v>
      </c>
    </row>
    <row customHeight="1" ht="11.25">
      <c r="A608" s="1850" t="s">
        <v>2246</v>
      </c>
      <c r="B608" s="1850" t="s">
        <v>16</v>
      </c>
      <c r="C608" s="1850" t="s">
        <v>3284</v>
      </c>
      <c r="D608" s="1850" t="s">
        <v>3285</v>
      </c>
      <c r="E608" s="1850" t="s">
        <v>3286</v>
      </c>
      <c r="F608" s="1850" t="s">
        <v>2361</v>
      </c>
      <c r="G608" s="1850" t="s">
        <v>22</v>
      </c>
      <c r="H608" s="1850" t="s">
        <v>22</v>
      </c>
      <c r="I608" s="1850" t="s">
        <v>1619</v>
      </c>
    </row>
    <row customHeight="1" ht="11.25">
      <c r="A609" s="1850" t="s">
        <v>2246</v>
      </c>
      <c r="B609" s="1850" t="s">
        <v>16</v>
      </c>
      <c r="C609" s="1850" t="s">
        <v>22</v>
      </c>
      <c r="D609" s="1850" t="s">
        <v>2447</v>
      </c>
      <c r="E609" s="1850" t="s">
        <v>2448</v>
      </c>
      <c r="F609" s="1850" t="s">
        <v>2254</v>
      </c>
      <c r="G609" s="1850" t="s">
        <v>22</v>
      </c>
      <c r="H609" s="1850" t="s">
        <v>22</v>
      </c>
      <c r="I609" s="1850" t="s">
        <v>1619</v>
      </c>
    </row>
    <row customHeight="1" ht="11.25">
      <c r="A610" s="1850" t="s">
        <v>2246</v>
      </c>
      <c r="B610" s="1850" t="s">
        <v>16</v>
      </c>
      <c r="C610" s="1850" t="s">
        <v>3122</v>
      </c>
      <c r="D610" s="1850" t="s">
        <v>3123</v>
      </c>
      <c r="E610" s="1850" t="s">
        <v>3124</v>
      </c>
      <c r="F610" s="1850" t="s">
        <v>2672</v>
      </c>
      <c r="G610" s="1850" t="s">
        <v>22</v>
      </c>
      <c r="H610" s="1850" t="s">
        <v>22</v>
      </c>
      <c r="I610" s="1850" t="s">
        <v>1619</v>
      </c>
    </row>
    <row customHeight="1" ht="11.25">
      <c r="A611" s="1850" t="s">
        <v>2246</v>
      </c>
      <c r="B611" s="1850" t="s">
        <v>16</v>
      </c>
      <c r="C611" s="1850" t="s">
        <v>3125</v>
      </c>
      <c r="D611" s="1850" t="s">
        <v>3126</v>
      </c>
      <c r="E611" s="1850" t="s">
        <v>3127</v>
      </c>
      <c r="F611" s="1850" t="s">
        <v>2445</v>
      </c>
      <c r="G611" s="1850" t="s">
        <v>22</v>
      </c>
      <c r="H611" s="1850" t="s">
        <v>22</v>
      </c>
      <c r="I611" s="1850" t="s">
        <v>1619</v>
      </c>
    </row>
    <row customHeight="1" ht="11.25">
      <c r="A612" s="1850" t="s">
        <v>2246</v>
      </c>
      <c r="B612" s="1850" t="s">
        <v>16</v>
      </c>
      <c r="C612" s="1850" t="s">
        <v>3287</v>
      </c>
      <c r="D612" s="1850" t="s">
        <v>3288</v>
      </c>
      <c r="E612" s="1850" t="s">
        <v>3289</v>
      </c>
      <c r="F612" s="1850" t="s">
        <v>2345</v>
      </c>
      <c r="G612" s="1850" t="s">
        <v>22</v>
      </c>
      <c r="H612" s="1850" t="s">
        <v>22</v>
      </c>
      <c r="I612" s="1850" t="s">
        <v>1619</v>
      </c>
    </row>
    <row customHeight="1" ht="11.25">
      <c r="A613" s="1850" t="s">
        <v>2246</v>
      </c>
      <c r="B613" s="1850" t="s">
        <v>16</v>
      </c>
      <c r="C613" s="1850" t="s">
        <v>3137</v>
      </c>
      <c r="D613" s="1850" t="s">
        <v>3138</v>
      </c>
      <c r="E613" s="1850" t="s">
        <v>3139</v>
      </c>
      <c r="F613" s="1850" t="s">
        <v>2542</v>
      </c>
      <c r="G613" s="1850" t="s">
        <v>22</v>
      </c>
      <c r="H613" s="1850" t="s">
        <v>22</v>
      </c>
      <c r="I613" s="1850" t="s">
        <v>1619</v>
      </c>
    </row>
    <row customHeight="1" ht="11.25">
      <c r="A614" s="1850" t="s">
        <v>2246</v>
      </c>
      <c r="B614" s="1850" t="s">
        <v>16</v>
      </c>
      <c r="C614" s="1850" t="s">
        <v>2554</v>
      </c>
      <c r="D614" s="1850" t="s">
        <v>2555</v>
      </c>
      <c r="E614" s="1850" t="s">
        <v>2556</v>
      </c>
      <c r="F614" s="1850" t="s">
        <v>2557</v>
      </c>
      <c r="G614" s="1850" t="s">
        <v>2558</v>
      </c>
      <c r="H614" s="1850" t="s">
        <v>22</v>
      </c>
      <c r="I614" s="1850" t="s">
        <v>1619</v>
      </c>
    </row>
    <row customHeight="1" ht="11.25">
      <c r="A615" s="1850" t="s">
        <v>2246</v>
      </c>
      <c r="B615" s="1850" t="s">
        <v>16</v>
      </c>
      <c r="C615" s="1850" t="s">
        <v>2559</v>
      </c>
      <c r="D615" s="1850" t="s">
        <v>2560</v>
      </c>
      <c r="E615" s="1850" t="s">
        <v>2561</v>
      </c>
      <c r="F615" s="1850" t="s">
        <v>2562</v>
      </c>
      <c r="G615" s="1850" t="s">
        <v>22</v>
      </c>
      <c r="H615" s="1850" t="s">
        <v>22</v>
      </c>
      <c r="I615" s="1850" t="s">
        <v>1619</v>
      </c>
    </row>
    <row customHeight="1" ht="11.25">
      <c r="A616" s="1850" t="s">
        <v>2246</v>
      </c>
      <c r="B616" s="1850" t="s">
        <v>16</v>
      </c>
      <c r="C616" s="1850" t="s">
        <v>2586</v>
      </c>
      <c r="D616" s="1850" t="s">
        <v>2587</v>
      </c>
      <c r="E616" s="1850" t="s">
        <v>2588</v>
      </c>
      <c r="F616" s="1850" t="s">
        <v>2298</v>
      </c>
      <c r="G616" s="1850" t="s">
        <v>2589</v>
      </c>
      <c r="H616" s="1850" t="s">
        <v>22</v>
      </c>
      <c r="I616" s="1850" t="s">
        <v>1619</v>
      </c>
    </row>
    <row customHeight="1" ht="11.25">
      <c r="A617" s="1850" t="s">
        <v>2246</v>
      </c>
      <c r="B617" s="1850" t="s">
        <v>16</v>
      </c>
      <c r="C617" s="1850" t="s">
        <v>3163</v>
      </c>
      <c r="D617" s="1850" t="s">
        <v>3164</v>
      </c>
      <c r="E617" s="1850" t="s">
        <v>3165</v>
      </c>
      <c r="F617" s="1850" t="s">
        <v>2445</v>
      </c>
      <c r="G617" s="1850" t="s">
        <v>22</v>
      </c>
      <c r="H617" s="1850" t="s">
        <v>22</v>
      </c>
      <c r="I617" s="1850" t="s">
        <v>1619</v>
      </c>
    </row>
    <row customHeight="1" ht="11.25">
      <c r="A618" s="1850" t="s">
        <v>2246</v>
      </c>
      <c r="B618" s="1850" t="s">
        <v>16</v>
      </c>
      <c r="C618" s="1850" t="s">
        <v>3290</v>
      </c>
      <c r="D618" s="1850" t="s">
        <v>3291</v>
      </c>
      <c r="E618" s="1850" t="s">
        <v>3292</v>
      </c>
      <c r="F618" s="1850" t="s">
        <v>2492</v>
      </c>
      <c r="G618" s="1850" t="s">
        <v>22</v>
      </c>
      <c r="H618" s="1850" t="s">
        <v>22</v>
      </c>
      <c r="I618" s="1850" t="s">
        <v>1619</v>
      </c>
    </row>
    <row customHeight="1" ht="11.25">
      <c r="A619" s="1850" t="s">
        <v>2246</v>
      </c>
      <c r="B619" s="1850" t="s">
        <v>16</v>
      </c>
      <c r="C619" s="1850" t="s">
        <v>3293</v>
      </c>
      <c r="D619" s="1850" t="s">
        <v>3294</v>
      </c>
      <c r="E619" s="1850" t="s">
        <v>3295</v>
      </c>
      <c r="F619" s="1850" t="s">
        <v>2473</v>
      </c>
      <c r="G619" s="1850" t="s">
        <v>22</v>
      </c>
      <c r="H619" s="1850" t="s">
        <v>22</v>
      </c>
      <c r="I619" s="1850" t="s">
        <v>1619</v>
      </c>
    </row>
    <row customHeight="1" ht="11.25">
      <c r="A620" s="1850" t="s">
        <v>2246</v>
      </c>
      <c r="B620" s="1850" t="s">
        <v>16</v>
      </c>
      <c r="C620" s="1850" t="s">
        <v>3296</v>
      </c>
      <c r="D620" s="1850" t="s">
        <v>3297</v>
      </c>
      <c r="E620" s="1850" t="s">
        <v>3298</v>
      </c>
      <c r="F620" s="1850" t="s">
        <v>2503</v>
      </c>
      <c r="G620" s="1850" t="s">
        <v>22</v>
      </c>
      <c r="H620" s="1850" t="s">
        <v>22</v>
      </c>
      <c r="I620" s="1850" t="s">
        <v>1619</v>
      </c>
    </row>
    <row customHeight="1" ht="11.25">
      <c r="A621" s="1850" t="s">
        <v>2246</v>
      </c>
      <c r="B621" s="1850" t="s">
        <v>16</v>
      </c>
      <c r="C621" s="1850" t="s">
        <v>3170</v>
      </c>
      <c r="D621" s="1850" t="s">
        <v>3171</v>
      </c>
      <c r="E621" s="1850" t="s">
        <v>3172</v>
      </c>
      <c r="F621" s="1850" t="s">
        <v>2298</v>
      </c>
      <c r="G621" s="1850" t="s">
        <v>22</v>
      </c>
      <c r="H621" s="1850" t="s">
        <v>22</v>
      </c>
      <c r="I621" s="1850" t="s">
        <v>1619</v>
      </c>
    </row>
    <row customHeight="1" ht="11.25">
      <c r="A622" s="1850" t="s">
        <v>2246</v>
      </c>
      <c r="B622" s="1850" t="s">
        <v>16</v>
      </c>
      <c r="C622" s="1850" t="s">
        <v>3263</v>
      </c>
      <c r="D622" s="1850" t="s">
        <v>3264</v>
      </c>
      <c r="E622" s="1850" t="s">
        <v>3265</v>
      </c>
      <c r="F622" s="1850" t="s">
        <v>2349</v>
      </c>
      <c r="G622" s="1850" t="s">
        <v>22</v>
      </c>
      <c r="H622" s="1850" t="s">
        <v>22</v>
      </c>
      <c r="I622" s="1850" t="s">
        <v>1619</v>
      </c>
    </row>
    <row customHeight="1" ht="11.25">
      <c r="A623" s="1850" t="s">
        <v>2246</v>
      </c>
      <c r="B623" s="1850" t="s">
        <v>16</v>
      </c>
      <c r="C623" s="1850" t="s">
        <v>3299</v>
      </c>
      <c r="D623" s="1850" t="s">
        <v>3300</v>
      </c>
      <c r="E623" s="1850" t="s">
        <v>3301</v>
      </c>
      <c r="F623" s="1850" t="s">
        <v>2345</v>
      </c>
      <c r="G623" s="1850" t="s">
        <v>3302</v>
      </c>
      <c r="H623" s="1850" t="s">
        <v>22</v>
      </c>
      <c r="I623" s="1850" t="s">
        <v>1619</v>
      </c>
    </row>
    <row customHeight="1" ht="11.25">
      <c r="A624" s="1850" t="s">
        <v>2246</v>
      </c>
      <c r="B624" s="1850" t="s">
        <v>16</v>
      </c>
      <c r="C624" s="1850" t="s">
        <v>3190</v>
      </c>
      <c r="D624" s="1850" t="s">
        <v>3191</v>
      </c>
      <c r="E624" s="1850" t="s">
        <v>3192</v>
      </c>
      <c r="F624" s="1850" t="s">
        <v>2499</v>
      </c>
      <c r="G624" s="1850" t="s">
        <v>3193</v>
      </c>
      <c r="H624" s="1850" t="s">
        <v>22</v>
      </c>
      <c r="I624" s="1850" t="s">
        <v>1619</v>
      </c>
    </row>
    <row customHeight="1" ht="11.25">
      <c r="A625" s="1850" t="s">
        <v>2246</v>
      </c>
      <c r="B625" s="1850" t="s">
        <v>16</v>
      </c>
      <c r="C625" s="1850" t="s">
        <v>2718</v>
      </c>
      <c r="D625" s="1850" t="s">
        <v>2719</v>
      </c>
      <c r="E625" s="1850" t="s">
        <v>2720</v>
      </c>
      <c r="F625" s="1850" t="s">
        <v>2250</v>
      </c>
      <c r="G625" s="1850" t="s">
        <v>22</v>
      </c>
      <c r="H625" s="1850" t="s">
        <v>22</v>
      </c>
      <c r="I625" s="1850" t="s">
        <v>1619</v>
      </c>
    </row>
    <row customHeight="1" ht="11.25">
      <c r="A626" s="1850" t="s">
        <v>2246</v>
      </c>
      <c r="B626" s="1850" t="s">
        <v>16</v>
      </c>
      <c r="C626" s="1850" t="s">
        <v>3303</v>
      </c>
      <c r="D626" s="1850" t="s">
        <v>3304</v>
      </c>
      <c r="E626" s="1850" t="s">
        <v>3305</v>
      </c>
      <c r="F626" s="1850" t="s">
        <v>2562</v>
      </c>
      <c r="G626" s="1850" t="s">
        <v>2594</v>
      </c>
      <c r="H626" s="1850" t="s">
        <v>22</v>
      </c>
      <c r="I626" s="1850" t="s">
        <v>1619</v>
      </c>
    </row>
    <row customHeight="1" ht="11.25">
      <c r="A627" s="1850" t="s">
        <v>2246</v>
      </c>
      <c r="B627" s="1850" t="s">
        <v>16</v>
      </c>
      <c r="C627" s="1850" t="s">
        <v>3204</v>
      </c>
      <c r="D627" s="1850" t="s">
        <v>3205</v>
      </c>
      <c r="E627" s="1850" t="s">
        <v>3206</v>
      </c>
      <c r="F627" s="1850" t="s">
        <v>2744</v>
      </c>
      <c r="G627" s="1850" t="s">
        <v>22</v>
      </c>
      <c r="H627" s="1850" t="s">
        <v>22</v>
      </c>
      <c r="I627" s="1850" t="s">
        <v>1619</v>
      </c>
    </row>
    <row customHeight="1" ht="11.25">
      <c r="A628" s="1850" t="s">
        <v>2246</v>
      </c>
      <c r="B628" s="1850" t="s">
        <v>16</v>
      </c>
      <c r="C628" s="1850" t="s">
        <v>3306</v>
      </c>
      <c r="D628" s="1850" t="s">
        <v>3307</v>
      </c>
      <c r="E628" s="1850" t="s">
        <v>3308</v>
      </c>
      <c r="F628" s="1850" t="s">
        <v>2313</v>
      </c>
      <c r="G628" s="1850" t="s">
        <v>22</v>
      </c>
      <c r="H628" s="1850" t="s">
        <v>22</v>
      </c>
      <c r="I628" s="1850" t="s">
        <v>1619</v>
      </c>
    </row>
    <row customHeight="1" ht="11.25">
      <c r="A629" s="1850" t="s">
        <v>2246</v>
      </c>
      <c r="B629" s="1850" t="s">
        <v>16</v>
      </c>
      <c r="C629" s="1850" t="s">
        <v>3309</v>
      </c>
      <c r="D629" s="1850" t="s">
        <v>3310</v>
      </c>
      <c r="E629" s="1850" t="s">
        <v>3311</v>
      </c>
      <c r="F629" s="1850" t="s">
        <v>2790</v>
      </c>
      <c r="G629" s="1850" t="s">
        <v>22</v>
      </c>
      <c r="H629" s="1850" t="s">
        <v>22</v>
      </c>
      <c r="I629" s="1850" t="s">
        <v>1619</v>
      </c>
    </row>
    <row customHeight="1" ht="11.25">
      <c r="A630" s="1850" t="s">
        <v>2246</v>
      </c>
      <c r="B630" s="1850" t="s">
        <v>16</v>
      </c>
      <c r="C630" s="1850" t="s">
        <v>2794</v>
      </c>
      <c r="D630" s="1850" t="s">
        <v>2795</v>
      </c>
      <c r="E630" s="1850" t="s">
        <v>2796</v>
      </c>
      <c r="F630" s="1850" t="s">
        <v>2361</v>
      </c>
      <c r="G630" s="1850" t="s">
        <v>2478</v>
      </c>
      <c r="H630" s="1850" t="s">
        <v>22</v>
      </c>
      <c r="I630" s="1850" t="s">
        <v>1619</v>
      </c>
    </row>
    <row customHeight="1" ht="11.25">
      <c r="A631" s="1850" t="s">
        <v>2246</v>
      </c>
      <c r="B631" s="1850" t="s">
        <v>16</v>
      </c>
      <c r="C631" s="1850" t="s">
        <v>3312</v>
      </c>
      <c r="D631" s="1850" t="s">
        <v>3313</v>
      </c>
      <c r="E631" s="1850" t="s">
        <v>3314</v>
      </c>
      <c r="F631" s="1850" t="s">
        <v>2790</v>
      </c>
      <c r="G631" s="1850" t="s">
        <v>22</v>
      </c>
      <c r="H631" s="1850" t="s">
        <v>22</v>
      </c>
      <c r="I631" s="1850" t="s">
        <v>1619</v>
      </c>
    </row>
    <row customHeight="1" ht="11.25">
      <c r="A632" s="1850" t="s">
        <v>2246</v>
      </c>
      <c r="B632" s="1850" t="s">
        <v>16</v>
      </c>
      <c r="C632" s="1850" t="s">
        <v>3315</v>
      </c>
      <c r="D632" s="1850" t="s">
        <v>3316</v>
      </c>
      <c r="E632" s="1850" t="s">
        <v>3317</v>
      </c>
      <c r="F632" s="1850" t="s">
        <v>2331</v>
      </c>
      <c r="G632" s="1850" t="s">
        <v>2534</v>
      </c>
      <c r="H632" s="1850" t="s">
        <v>22</v>
      </c>
      <c r="I632" s="1850" t="s">
        <v>1619</v>
      </c>
    </row>
    <row customHeight="1" ht="11.25">
      <c r="A633" s="1850" t="s">
        <v>2246</v>
      </c>
      <c r="B633" s="1850" t="s">
        <v>16</v>
      </c>
      <c r="C633" s="1850" t="s">
        <v>3318</v>
      </c>
      <c r="D633" s="1850" t="s">
        <v>3319</v>
      </c>
      <c r="E633" s="1850" t="s">
        <v>3320</v>
      </c>
      <c r="F633" s="1850" t="s">
        <v>2250</v>
      </c>
      <c r="G633" s="1850" t="s">
        <v>22</v>
      </c>
      <c r="H633" s="1850" t="s">
        <v>22</v>
      </c>
      <c r="I633" s="1850" t="s">
        <v>1619</v>
      </c>
    </row>
    <row customHeight="1" ht="11.25">
      <c r="A634" s="1850" t="s">
        <v>2246</v>
      </c>
      <c r="B634" s="1850" t="s">
        <v>16</v>
      </c>
      <c r="C634" s="1850" t="s">
        <v>3321</v>
      </c>
      <c r="D634" s="1850" t="s">
        <v>3322</v>
      </c>
      <c r="E634" s="1850" t="s">
        <v>3323</v>
      </c>
      <c r="F634" s="1850" t="s">
        <v>2482</v>
      </c>
      <c r="G634" s="1850" t="s">
        <v>3324</v>
      </c>
      <c r="H634" s="1850" t="s">
        <v>3325</v>
      </c>
      <c r="I634" s="1850" t="s">
        <v>1619</v>
      </c>
    </row>
    <row customHeight="1" ht="11.25">
      <c r="A635" s="1850" t="s">
        <v>2246</v>
      </c>
      <c r="B635" s="1850" t="s">
        <v>16</v>
      </c>
      <c r="C635" s="1850" t="s">
        <v>2852</v>
      </c>
      <c r="D635" s="1850" t="s">
        <v>2853</v>
      </c>
      <c r="E635" s="1850" t="s">
        <v>2854</v>
      </c>
      <c r="F635" s="1850" t="s">
        <v>2593</v>
      </c>
      <c r="G635" s="1850" t="s">
        <v>22</v>
      </c>
      <c r="H635" s="1850" t="s">
        <v>22</v>
      </c>
      <c r="I635" s="1850" t="s">
        <v>1619</v>
      </c>
    </row>
    <row customHeight="1" ht="11.25">
      <c r="A636" s="1850" t="s">
        <v>2246</v>
      </c>
      <c r="B636" s="1850" t="s">
        <v>16</v>
      </c>
      <c r="C636" s="1850" t="s">
        <v>3326</v>
      </c>
      <c r="D636" s="1850" t="s">
        <v>3327</v>
      </c>
      <c r="E636" s="1850" t="s">
        <v>3328</v>
      </c>
      <c r="F636" s="1850" t="s">
        <v>2452</v>
      </c>
      <c r="G636" s="1850" t="s">
        <v>3329</v>
      </c>
      <c r="H636" s="1850" t="s">
        <v>22</v>
      </c>
      <c r="I636" s="1850" t="s">
        <v>1619</v>
      </c>
    </row>
    <row customHeight="1" ht="11.25">
      <c r="A637" s="1850" t="s">
        <v>2246</v>
      </c>
      <c r="B637" s="1850" t="s">
        <v>16</v>
      </c>
      <c r="C637" s="1850" t="s">
        <v>3330</v>
      </c>
      <c r="D637" s="1850" t="s">
        <v>3331</v>
      </c>
      <c r="E637" s="1850" t="s">
        <v>3332</v>
      </c>
      <c r="F637" s="1850" t="s">
        <v>2321</v>
      </c>
      <c r="G637" s="1850" t="s">
        <v>3333</v>
      </c>
      <c r="H637" s="1850" t="s">
        <v>22</v>
      </c>
      <c r="I637" s="1850" t="s">
        <v>1619</v>
      </c>
    </row>
    <row customHeight="1" ht="11.25">
      <c r="A638" s="1850" t="s">
        <v>2246</v>
      </c>
      <c r="B638" s="1850" t="s">
        <v>16</v>
      </c>
      <c r="C638" s="1850" t="s">
        <v>3334</v>
      </c>
      <c r="D638" s="1850" t="s">
        <v>3335</v>
      </c>
      <c r="E638" s="1850" t="s">
        <v>3336</v>
      </c>
      <c r="F638" s="1850" t="s">
        <v>2349</v>
      </c>
      <c r="G638" s="1850" t="s">
        <v>3337</v>
      </c>
      <c r="H638" s="1850" t="s">
        <v>22</v>
      </c>
      <c r="I638" s="1850" t="s">
        <v>1619</v>
      </c>
    </row>
    <row customHeight="1" ht="11.25">
      <c r="A639" s="1850" t="s">
        <v>2246</v>
      </c>
      <c r="B639" s="1850" t="s">
        <v>16</v>
      </c>
      <c r="C639" s="1850" t="s">
        <v>3338</v>
      </c>
      <c r="D639" s="1850" t="s">
        <v>3339</v>
      </c>
      <c r="E639" s="1850" t="s">
        <v>3340</v>
      </c>
      <c r="F639" s="1850" t="s">
        <v>2306</v>
      </c>
      <c r="G639" s="1850" t="s">
        <v>3341</v>
      </c>
      <c r="H639" s="1850" t="s">
        <v>22</v>
      </c>
      <c r="I639" s="1850" t="s">
        <v>1619</v>
      </c>
    </row>
    <row customHeight="1" ht="11.25">
      <c r="A640" s="1850" t="s">
        <v>2246</v>
      </c>
      <c r="B640" s="1850" t="s">
        <v>16</v>
      </c>
      <c r="C640" s="1850" t="s">
        <v>3342</v>
      </c>
      <c r="D640" s="1850" t="s">
        <v>3343</v>
      </c>
      <c r="E640" s="1850" t="s">
        <v>3344</v>
      </c>
      <c r="F640" s="1850" t="s">
        <v>2313</v>
      </c>
      <c r="G640" s="1850" t="s">
        <v>22</v>
      </c>
      <c r="H640" s="1850" t="s">
        <v>22</v>
      </c>
      <c r="I640" s="1850" t="s">
        <v>1619</v>
      </c>
    </row>
    <row customHeight="1" ht="11.25">
      <c r="A641" s="1850" t="s">
        <v>2246</v>
      </c>
      <c r="B641" s="1850" t="s">
        <v>16</v>
      </c>
      <c r="C641" s="1850" t="s">
        <v>3345</v>
      </c>
      <c r="D641" s="1850" t="s">
        <v>3346</v>
      </c>
      <c r="E641" s="1850" t="s">
        <v>3347</v>
      </c>
      <c r="F641" s="1850" t="s">
        <v>2298</v>
      </c>
      <c r="G641" s="1850" t="s">
        <v>22</v>
      </c>
      <c r="H641" s="1850" t="s">
        <v>22</v>
      </c>
      <c r="I641" s="1850" t="s">
        <v>1619</v>
      </c>
    </row>
    <row customHeight="1" ht="11.25">
      <c r="A642" s="1850" t="s">
        <v>2246</v>
      </c>
      <c r="B642" s="1850" t="s">
        <v>16</v>
      </c>
      <c r="C642" s="1850" t="s">
        <v>3348</v>
      </c>
      <c r="D642" s="1850" t="s">
        <v>3349</v>
      </c>
      <c r="E642" s="1850" t="s">
        <v>3350</v>
      </c>
      <c r="F642" s="1850" t="s">
        <v>2254</v>
      </c>
      <c r="G642" s="1850" t="s">
        <v>22</v>
      </c>
      <c r="H642" s="1850" t="s">
        <v>22</v>
      </c>
      <c r="I642" s="1850" t="s">
        <v>1619</v>
      </c>
    </row>
    <row customHeight="1" ht="11.25">
      <c r="A643" s="1850" t="s">
        <v>2246</v>
      </c>
      <c r="B643" s="1850" t="s">
        <v>16</v>
      </c>
      <c r="C643" s="1850" t="s">
        <v>2984</v>
      </c>
      <c r="D643" s="1850" t="s">
        <v>2985</v>
      </c>
      <c r="E643" s="1850" t="s">
        <v>2986</v>
      </c>
      <c r="F643" s="1850" t="s">
        <v>2525</v>
      </c>
      <c r="G643" s="1850" t="s">
        <v>2987</v>
      </c>
      <c r="H643" s="1850" t="s">
        <v>22</v>
      </c>
      <c r="I643" s="1850" t="s">
        <v>1619</v>
      </c>
    </row>
    <row customHeight="1" ht="11.25">
      <c r="A644" s="1850" t="s">
        <v>2246</v>
      </c>
      <c r="B644" s="1850" t="s">
        <v>16</v>
      </c>
      <c r="C644" s="1850" t="s">
        <v>3351</v>
      </c>
      <c r="D644" s="1850" t="s">
        <v>3352</v>
      </c>
      <c r="E644" s="1850" t="s">
        <v>3353</v>
      </c>
      <c r="F644" s="1850" t="s">
        <v>2254</v>
      </c>
      <c r="G644" s="1850" t="s">
        <v>22</v>
      </c>
      <c r="H644" s="1850" t="s">
        <v>22</v>
      </c>
      <c r="I644" s="1850" t="s">
        <v>1619</v>
      </c>
    </row>
    <row customHeight="1" ht="11.25">
      <c r="A645" s="1850" t="s">
        <v>2246</v>
      </c>
      <c r="B645" s="1850" t="s">
        <v>16</v>
      </c>
      <c r="C645" s="1850" t="s">
        <v>3354</v>
      </c>
      <c r="D645" s="1850" t="s">
        <v>3355</v>
      </c>
      <c r="E645" s="1850" t="s">
        <v>3356</v>
      </c>
      <c r="F645" s="1850" t="s">
        <v>2306</v>
      </c>
      <c r="G645" s="1850" t="s">
        <v>3357</v>
      </c>
      <c r="H645" s="1850" t="s">
        <v>22</v>
      </c>
      <c r="I645" s="1850" t="s">
        <v>1619</v>
      </c>
    </row>
    <row customHeight="1" ht="11.25">
      <c r="A646" s="1850" t="s">
        <v>2246</v>
      </c>
      <c r="B646" s="1850" t="s">
        <v>16</v>
      </c>
      <c r="C646" s="1850" t="s">
        <v>3358</v>
      </c>
      <c r="D646" s="1850" t="s">
        <v>3359</v>
      </c>
      <c r="E646" s="1850" t="s">
        <v>3360</v>
      </c>
      <c r="F646" s="1850" t="s">
        <v>2331</v>
      </c>
      <c r="G646" s="1850" t="s">
        <v>3361</v>
      </c>
      <c r="H646" s="1850" t="s">
        <v>22</v>
      </c>
      <c r="I646" s="1850" t="s">
        <v>1619</v>
      </c>
    </row>
  </sheetData>
  <sheetProtection formatColumns="0" formatRows="0" sort="0" autoFilter="0" insertRows="0" insertColumns="1" deleteRows="0" deleteColumns="0"/>
  <pageMargins left="0.75" right="0.75" top="1.00" bottom="1.00" header="0.50" footer="0.50"/>
  <pageSetup pageOrder="downThenOver" orientation="portrait"/>
  <headerFooter>
    <oddHeader>&amp;L&amp;C&amp;R</oddHeader>
    <oddFooter>&amp;L&amp;C&amp;R</oddFooter>
    <evenHeader>&amp;L&amp;C&amp;R</evenHeader>
    <evenFooter>&amp;L&amp;C&amp;R</evenFooter>
  </headerFooter>
</worksheet>
</file>

<file path=xl/worksheets/sheet7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E14C4CD-008C-0E8D-1529-20862EA07422}" mc:Ignorable="x14ac xr xr2 xr3">
  <sheetPr>
    <tabColor rgb="FFFFCC99"/>
  </sheetPr>
  <dimension ref="A1:G79"/>
  <sheetViews>
    <sheetView topLeftCell="A1" showGridLines="0" workbookViewId="0">
      <selection activeCell="A1" sqref="A1"/>
    </sheetView>
  </sheetViews>
  <sheetFormatPr customHeight="1" defaultRowHeight="11.25"/>
  <cols>
    <col min="1" max="1" style="1850" width="9.140625"/>
  </cols>
  <sheetData>
    <row customHeight="1" ht="11.25">
      <c r="A1" s="373" t="s">
        <v>3362</v>
      </c>
      <c r="B1" s="64" t="s">
        <v>3363</v>
      </c>
      <c r="C1" s="64" t="s">
        <v>3364</v>
      </c>
      <c r="D1" s="64" t="s">
        <v>3365</v>
      </c>
      <c r="E1" s="0" t="s">
        <v>3366</v>
      </c>
      <c r="F1" s="0" t="s">
        <v>3367</v>
      </c>
      <c r="G1" s="0" t="s">
        <v>3368</v>
      </c>
    </row>
    <row customHeight="1" ht="11.25">
      <c r="A2" s="373" t="s">
        <v>16</v>
      </c>
      <c r="B2" s="0" t="s">
        <v>3369</v>
      </c>
      <c r="C2" s="0" t="s">
        <v>3370</v>
      </c>
      <c r="D2" s="0" t="s">
        <v>3369</v>
      </c>
      <c r="E2" s="0" t="s">
        <v>3370</v>
      </c>
      <c r="F2" s="0" t="s">
        <v>3371</v>
      </c>
      <c r="G2" s="0" t="s">
        <v>109</v>
      </c>
    </row>
    <row customHeight="1" ht="11.25">
      <c r="A3" s="373" t="s">
        <v>16</v>
      </c>
      <c r="B3" s="0" t="s">
        <v>3372</v>
      </c>
      <c r="C3" s="0" t="s">
        <v>3373</v>
      </c>
      <c r="D3" s="0" t="s">
        <v>3372</v>
      </c>
      <c r="E3" s="0" t="s">
        <v>3373</v>
      </c>
      <c r="F3" s="0" t="s">
        <v>3371</v>
      </c>
      <c r="G3" s="0" t="s">
        <v>110</v>
      </c>
    </row>
    <row customHeight="1" ht="11.25">
      <c r="A4" s="373" t="s">
        <v>16</v>
      </c>
      <c r="B4" s="0" t="s">
        <v>3374</v>
      </c>
      <c r="C4" s="0" t="s">
        <v>3375</v>
      </c>
      <c r="D4" s="0" t="s">
        <v>3374</v>
      </c>
      <c r="E4" s="0" t="s">
        <v>3375</v>
      </c>
      <c r="F4" s="0" t="s">
        <v>3371</v>
      </c>
      <c r="G4" s="0" t="s">
        <v>90</v>
      </c>
    </row>
    <row customHeight="1" ht="11.25">
      <c r="A5" s="373" t="s">
        <v>16</v>
      </c>
      <c r="B5" s="0" t="s">
        <v>3376</v>
      </c>
      <c r="C5" s="0" t="s">
        <v>3377</v>
      </c>
      <c r="D5" s="0" t="s">
        <v>3376</v>
      </c>
      <c r="E5" s="0" t="s">
        <v>3377</v>
      </c>
      <c r="F5" s="0" t="s">
        <v>3371</v>
      </c>
      <c r="G5" s="0" t="s">
        <v>91</v>
      </c>
    </row>
    <row customHeight="1" ht="11.25">
      <c r="A6" s="373" t="s">
        <v>16</v>
      </c>
      <c r="B6" s="0" t="s">
        <v>3378</v>
      </c>
      <c r="C6" s="0" t="s">
        <v>3379</v>
      </c>
      <c r="D6" s="0" t="s">
        <v>3380</v>
      </c>
      <c r="E6" s="0" t="s">
        <v>3381</v>
      </c>
      <c r="F6" s="0" t="s">
        <v>3382</v>
      </c>
      <c r="G6" s="0" t="s">
        <v>111</v>
      </c>
    </row>
    <row customHeight="1" ht="11.25">
      <c r="A7" s="373" t="s">
        <v>16</v>
      </c>
      <c r="B7" s="0" t="s">
        <v>3378</v>
      </c>
      <c r="C7" s="0" t="s">
        <v>3379</v>
      </c>
      <c r="D7" s="0" t="s">
        <v>3378</v>
      </c>
      <c r="E7" s="0" t="s">
        <v>3379</v>
      </c>
      <c r="F7" s="0" t="s">
        <v>3383</v>
      </c>
      <c r="G7" s="0" t="s">
        <v>92</v>
      </c>
    </row>
    <row customHeight="1" ht="11.25">
      <c r="A8" s="373" t="s">
        <v>16</v>
      </c>
      <c r="B8" s="0" t="s">
        <v>3378</v>
      </c>
      <c r="C8" s="0" t="s">
        <v>3379</v>
      </c>
      <c r="D8" s="0" t="s">
        <v>3384</v>
      </c>
      <c r="E8" s="0" t="s">
        <v>3385</v>
      </c>
      <c r="F8" s="0" t="s">
        <v>3382</v>
      </c>
      <c r="G8" s="0" t="s">
        <v>93</v>
      </c>
    </row>
    <row customHeight="1" ht="11.25">
      <c r="A9" s="373" t="s">
        <v>16</v>
      </c>
      <c r="B9" s="0" t="s">
        <v>3378</v>
      </c>
      <c r="C9" s="0" t="s">
        <v>3379</v>
      </c>
      <c r="D9" s="0" t="s">
        <v>3386</v>
      </c>
      <c r="E9" s="0" t="s">
        <v>3387</v>
      </c>
      <c r="F9" s="0" t="s">
        <v>3382</v>
      </c>
      <c r="G9" s="0" t="s">
        <v>112</v>
      </c>
    </row>
    <row customHeight="1" ht="11.25">
      <c r="A10" s="373" t="s">
        <v>16</v>
      </c>
      <c r="B10" s="0" t="s">
        <v>3388</v>
      </c>
      <c r="C10" s="0" t="s">
        <v>3389</v>
      </c>
      <c r="D10" s="0" t="s">
        <v>3388</v>
      </c>
      <c r="E10" s="0" t="s">
        <v>3389</v>
      </c>
      <c r="F10" s="0" t="s">
        <v>3371</v>
      </c>
      <c r="G10" s="0" t="s">
        <v>152</v>
      </c>
    </row>
    <row customHeight="1" ht="11.25">
      <c r="A11" s="373" t="s">
        <v>16</v>
      </c>
      <c r="B11" s="0" t="s">
        <v>3390</v>
      </c>
      <c r="C11" s="0" t="s">
        <v>3391</v>
      </c>
      <c r="D11" s="0" t="s">
        <v>3390</v>
      </c>
      <c r="E11" s="0" t="s">
        <v>3391</v>
      </c>
      <c r="F11" s="0" t="s">
        <v>3371</v>
      </c>
      <c r="G11" s="0" t="s">
        <v>153</v>
      </c>
    </row>
    <row customHeight="1" ht="11.25">
      <c r="A12" s="373" t="s">
        <v>16</v>
      </c>
      <c r="B12" s="0" t="s">
        <v>3392</v>
      </c>
      <c r="C12" s="0" t="s">
        <v>3393</v>
      </c>
      <c r="D12" s="0" t="s">
        <v>3392</v>
      </c>
      <c r="E12" s="0" t="s">
        <v>3393</v>
      </c>
      <c r="F12" s="0" t="s">
        <v>3371</v>
      </c>
      <c r="G12" s="0" t="s">
        <v>154</v>
      </c>
    </row>
    <row customHeight="1" ht="11.25">
      <c r="A13" s="373" t="s">
        <v>16</v>
      </c>
      <c r="B13" s="0" t="s">
        <v>3394</v>
      </c>
      <c r="C13" s="0" t="s">
        <v>3395</v>
      </c>
      <c r="D13" s="0" t="s">
        <v>3394</v>
      </c>
      <c r="E13" s="0" t="s">
        <v>3395</v>
      </c>
      <c r="F13" s="0" t="s">
        <v>3371</v>
      </c>
      <c r="G13" s="0" t="s">
        <v>155</v>
      </c>
    </row>
    <row customHeight="1" ht="11.25">
      <c r="A14" s="373" t="s">
        <v>16</v>
      </c>
      <c r="B14" s="0" t="s">
        <v>3396</v>
      </c>
      <c r="C14" s="0" t="s">
        <v>3397</v>
      </c>
      <c r="D14" s="0" t="s">
        <v>3398</v>
      </c>
      <c r="E14" s="0" t="s">
        <v>3399</v>
      </c>
      <c r="F14" s="0" t="s">
        <v>3382</v>
      </c>
      <c r="G14" s="0" t="s">
        <v>156</v>
      </c>
    </row>
    <row customHeight="1" ht="11.25">
      <c r="A15" s="373" t="s">
        <v>16</v>
      </c>
      <c r="B15" s="0" t="s">
        <v>3396</v>
      </c>
      <c r="C15" s="0" t="s">
        <v>3397</v>
      </c>
      <c r="D15" s="0" t="s">
        <v>3400</v>
      </c>
      <c r="E15" s="0" t="s">
        <v>3401</v>
      </c>
      <c r="F15" s="0" t="s">
        <v>3382</v>
      </c>
      <c r="G15" s="0" t="s">
        <v>157</v>
      </c>
    </row>
    <row customHeight="1" ht="11.25">
      <c r="A16" s="373" t="s">
        <v>16</v>
      </c>
      <c r="B16" s="0" t="s">
        <v>3396</v>
      </c>
      <c r="C16" s="0" t="s">
        <v>3397</v>
      </c>
      <c r="D16" s="0" t="s">
        <v>3402</v>
      </c>
      <c r="E16" s="0" t="s">
        <v>3403</v>
      </c>
      <c r="F16" s="0" t="s">
        <v>3382</v>
      </c>
      <c r="G16" s="0" t="s">
        <v>1463</v>
      </c>
    </row>
    <row customHeight="1" ht="11.25">
      <c r="A17" s="373" t="s">
        <v>16</v>
      </c>
      <c r="B17" s="0" t="s">
        <v>3396</v>
      </c>
      <c r="C17" s="0" t="s">
        <v>3397</v>
      </c>
      <c r="D17" s="0" t="s">
        <v>3404</v>
      </c>
      <c r="E17" s="0" t="s">
        <v>3405</v>
      </c>
      <c r="F17" s="0" t="s">
        <v>3382</v>
      </c>
      <c r="G17" s="0" t="s">
        <v>1469</v>
      </c>
    </row>
    <row customHeight="1" ht="11.25">
      <c r="A18" s="373" t="s">
        <v>16</v>
      </c>
      <c r="B18" s="0" t="s">
        <v>3396</v>
      </c>
      <c r="C18" s="0" t="s">
        <v>3397</v>
      </c>
      <c r="D18" s="0" t="s">
        <v>3396</v>
      </c>
      <c r="E18" s="0" t="s">
        <v>3397</v>
      </c>
      <c r="F18" s="0" t="s">
        <v>3383</v>
      </c>
      <c r="G18" s="0" t="s">
        <v>1481</v>
      </c>
    </row>
    <row customHeight="1" ht="11.25">
      <c r="A19" s="373" t="s">
        <v>16</v>
      </c>
      <c r="B19" s="0" t="s">
        <v>3396</v>
      </c>
      <c r="C19" s="0" t="s">
        <v>3397</v>
      </c>
      <c r="D19" s="0" t="s">
        <v>3406</v>
      </c>
      <c r="E19" s="0" t="s">
        <v>3407</v>
      </c>
      <c r="F19" s="0" t="s">
        <v>3408</v>
      </c>
      <c r="G19" s="0" t="s">
        <v>1495</v>
      </c>
    </row>
    <row customHeight="1" ht="11.25">
      <c r="A20" s="373" t="s">
        <v>16</v>
      </c>
      <c r="B20" s="0" t="s">
        <v>3396</v>
      </c>
      <c r="C20" s="0" t="s">
        <v>3397</v>
      </c>
      <c r="D20" s="0" t="s">
        <v>3409</v>
      </c>
      <c r="E20" s="0" t="s">
        <v>3410</v>
      </c>
      <c r="F20" s="0" t="s">
        <v>3382</v>
      </c>
      <c r="G20" s="0" t="s">
        <v>1507</v>
      </c>
    </row>
    <row customHeight="1" ht="11.25">
      <c r="A21" s="373" t="s">
        <v>16</v>
      </c>
      <c r="B21" s="0" t="s">
        <v>3396</v>
      </c>
      <c r="C21" s="0" t="s">
        <v>3397</v>
      </c>
      <c r="D21" s="0" t="s">
        <v>3411</v>
      </c>
      <c r="E21" s="0" t="s">
        <v>3412</v>
      </c>
      <c r="F21" s="0" t="s">
        <v>3382</v>
      </c>
      <c r="G21" s="0" t="s">
        <v>1516</v>
      </c>
    </row>
    <row customHeight="1" ht="11.25">
      <c r="A22" s="373" t="s">
        <v>16</v>
      </c>
      <c r="B22" s="0" t="s">
        <v>3396</v>
      </c>
      <c r="C22" s="0" t="s">
        <v>3397</v>
      </c>
      <c r="D22" s="0" t="s">
        <v>3413</v>
      </c>
      <c r="E22" s="0" t="s">
        <v>3414</v>
      </c>
      <c r="F22" s="0" t="s">
        <v>3382</v>
      </c>
      <c r="G22" s="0" t="s">
        <v>1532</v>
      </c>
    </row>
    <row customHeight="1" ht="11.25">
      <c r="A23" s="373" t="s">
        <v>16</v>
      </c>
      <c r="B23" s="0" t="s">
        <v>3415</v>
      </c>
      <c r="C23" s="0" t="s">
        <v>3416</v>
      </c>
      <c r="D23" s="0" t="s">
        <v>3415</v>
      </c>
      <c r="E23" s="0" t="s">
        <v>3416</v>
      </c>
      <c r="F23" s="0" t="s">
        <v>3417</v>
      </c>
      <c r="G23" s="0" t="s">
        <v>1539</v>
      </c>
    </row>
    <row customHeight="1" ht="11.25">
      <c r="A24" s="373" t="s">
        <v>16</v>
      </c>
      <c r="B24" s="0" t="s">
        <v>3418</v>
      </c>
      <c r="C24" s="0" t="s">
        <v>3419</v>
      </c>
      <c r="D24" s="0" t="s">
        <v>3418</v>
      </c>
      <c r="E24" s="0" t="s">
        <v>3419</v>
      </c>
      <c r="F24" s="0" t="s">
        <v>3417</v>
      </c>
      <c r="G24" s="0" t="s">
        <v>1547</v>
      </c>
    </row>
    <row customHeight="1" ht="11.25">
      <c r="A25" s="373" t="s">
        <v>16</v>
      </c>
      <c r="B25" s="0" t="s">
        <v>3420</v>
      </c>
      <c r="C25" s="0" t="s">
        <v>3421</v>
      </c>
      <c r="D25" s="0" t="s">
        <v>3420</v>
      </c>
      <c r="E25" s="0" t="s">
        <v>3421</v>
      </c>
      <c r="F25" s="0" t="s">
        <v>3371</v>
      </c>
      <c r="G25" s="0" t="s">
        <v>1554</v>
      </c>
    </row>
    <row customHeight="1" ht="11.25">
      <c r="A26" s="373" t="s">
        <v>16</v>
      </c>
      <c r="B26" s="0" t="s">
        <v>100</v>
      </c>
      <c r="C26" s="0" t="s">
        <v>101</v>
      </c>
      <c r="D26" s="0" t="s">
        <v>100</v>
      </c>
      <c r="E26" s="0" t="s">
        <v>101</v>
      </c>
      <c r="F26" s="0" t="s">
        <v>3371</v>
      </c>
      <c r="G26" s="0" t="s">
        <v>99</v>
      </c>
    </row>
    <row customHeight="1" ht="11.25">
      <c r="A27" s="373" t="s">
        <v>16</v>
      </c>
      <c r="B27" s="0" t="s">
        <v>3422</v>
      </c>
      <c r="C27" s="0" t="s">
        <v>3423</v>
      </c>
      <c r="D27" s="0" t="s">
        <v>3422</v>
      </c>
      <c r="E27" s="0" t="s">
        <v>3423</v>
      </c>
      <c r="F27" s="0" t="s">
        <v>3371</v>
      </c>
      <c r="G27" s="0" t="s">
        <v>1562</v>
      </c>
    </row>
    <row customHeight="1" ht="11.25">
      <c r="A28" s="373" t="s">
        <v>16</v>
      </c>
      <c r="B28" s="0" t="s">
        <v>3424</v>
      </c>
      <c r="C28" s="0" t="s">
        <v>3425</v>
      </c>
      <c r="D28" s="0" t="s">
        <v>3426</v>
      </c>
      <c r="E28" s="0" t="s">
        <v>3427</v>
      </c>
      <c r="F28" s="0" t="s">
        <v>3382</v>
      </c>
      <c r="G28" s="0" t="s">
        <v>1570</v>
      </c>
    </row>
    <row customHeight="1" ht="11.25">
      <c r="A29" s="373" t="s">
        <v>16</v>
      </c>
      <c r="B29" s="0" t="s">
        <v>3424</v>
      </c>
      <c r="C29" s="0" t="s">
        <v>3425</v>
      </c>
      <c r="D29" s="0" t="s">
        <v>3428</v>
      </c>
      <c r="E29" s="0" t="s">
        <v>3429</v>
      </c>
      <c r="F29" s="0" t="s">
        <v>3408</v>
      </c>
      <c r="G29" s="0" t="s">
        <v>1572</v>
      </c>
    </row>
    <row customHeight="1" ht="11.25">
      <c r="A30" s="373" t="s">
        <v>16</v>
      </c>
      <c r="B30" s="0" t="s">
        <v>3424</v>
      </c>
      <c r="C30" s="0" t="s">
        <v>3425</v>
      </c>
      <c r="D30" s="0" t="s">
        <v>3424</v>
      </c>
      <c r="E30" s="0" t="s">
        <v>3425</v>
      </c>
      <c r="F30" s="0" t="s">
        <v>3383</v>
      </c>
      <c r="G30" s="0" t="s">
        <v>1575</v>
      </c>
    </row>
    <row customHeight="1" ht="11.25">
      <c r="A31" s="373" t="s">
        <v>16</v>
      </c>
      <c r="B31" s="0" t="s">
        <v>3424</v>
      </c>
      <c r="C31" s="0" t="s">
        <v>3425</v>
      </c>
      <c r="D31" s="0" t="s">
        <v>3430</v>
      </c>
      <c r="E31" s="0" t="s">
        <v>3431</v>
      </c>
      <c r="F31" s="0" t="s">
        <v>3382</v>
      </c>
      <c r="G31" s="0" t="s">
        <v>1581</v>
      </c>
    </row>
    <row customHeight="1" ht="11.25">
      <c r="A32" s="373" t="s">
        <v>16</v>
      </c>
      <c r="B32" s="0" t="s">
        <v>3424</v>
      </c>
      <c r="C32" s="0" t="s">
        <v>3425</v>
      </c>
      <c r="D32" s="0" t="s">
        <v>3432</v>
      </c>
      <c r="E32" s="0" t="s">
        <v>3433</v>
      </c>
      <c r="F32" s="0" t="s">
        <v>3382</v>
      </c>
      <c r="G32" s="0" t="s">
        <v>1583</v>
      </c>
    </row>
    <row customHeight="1" ht="11.25">
      <c r="A33" s="373" t="s">
        <v>16</v>
      </c>
      <c r="B33" s="0" t="s">
        <v>3424</v>
      </c>
      <c r="C33" s="0" t="s">
        <v>3425</v>
      </c>
      <c r="D33" s="0" t="s">
        <v>3434</v>
      </c>
      <c r="E33" s="0" t="s">
        <v>3435</v>
      </c>
      <c r="F33" s="0" t="s">
        <v>3382</v>
      </c>
      <c r="G33" s="0" t="s">
        <v>1585</v>
      </c>
    </row>
    <row customHeight="1" ht="11.25">
      <c r="A34" s="373" t="s">
        <v>16</v>
      </c>
      <c r="B34" s="0" t="s">
        <v>3424</v>
      </c>
      <c r="C34" s="0" t="s">
        <v>3425</v>
      </c>
      <c r="D34" s="0" t="s">
        <v>3436</v>
      </c>
      <c r="E34" s="0" t="s">
        <v>3437</v>
      </c>
      <c r="F34" s="0" t="s">
        <v>3382</v>
      </c>
      <c r="G34" s="0" t="s">
        <v>1587</v>
      </c>
    </row>
    <row customHeight="1" ht="11.25">
      <c r="A35" s="373" t="s">
        <v>16</v>
      </c>
      <c r="B35" s="0" t="s">
        <v>3424</v>
      </c>
      <c r="C35" s="0" t="s">
        <v>3425</v>
      </c>
      <c r="D35" s="0" t="s">
        <v>3438</v>
      </c>
      <c r="E35" s="0" t="s">
        <v>3439</v>
      </c>
      <c r="F35" s="0" t="s">
        <v>3382</v>
      </c>
      <c r="G35" s="0" t="s">
        <v>1592</v>
      </c>
    </row>
    <row customHeight="1" ht="11.25">
      <c r="A36" s="373" t="s">
        <v>16</v>
      </c>
      <c r="B36" s="0" t="s">
        <v>3440</v>
      </c>
      <c r="C36" s="0" t="s">
        <v>3441</v>
      </c>
      <c r="D36" s="0" t="s">
        <v>3440</v>
      </c>
      <c r="E36" s="0" t="s">
        <v>3441</v>
      </c>
      <c r="F36" s="0" t="s">
        <v>3371</v>
      </c>
      <c r="G36" s="0" t="s">
        <v>1597</v>
      </c>
    </row>
    <row customHeight="1" ht="11.25">
      <c r="A37" s="373" t="s">
        <v>16</v>
      </c>
      <c r="B37" s="0" t="s">
        <v>3442</v>
      </c>
      <c r="C37" s="0" t="s">
        <v>3443</v>
      </c>
      <c r="D37" s="0" t="s">
        <v>3442</v>
      </c>
      <c r="E37" s="0" t="s">
        <v>3443</v>
      </c>
      <c r="F37" s="0" t="s">
        <v>3371</v>
      </c>
      <c r="G37" s="0" t="s">
        <v>1601</v>
      </c>
    </row>
    <row customHeight="1" ht="11.25">
      <c r="A38" s="373" t="s">
        <v>16</v>
      </c>
      <c r="B38" s="0" t="s">
        <v>3444</v>
      </c>
      <c r="C38" s="0" t="s">
        <v>3445</v>
      </c>
      <c r="D38" s="0" t="s">
        <v>3444</v>
      </c>
      <c r="E38" s="0" t="s">
        <v>3445</v>
      </c>
      <c r="F38" s="0" t="s">
        <v>3371</v>
      </c>
      <c r="G38" s="0" t="s">
        <v>1609</v>
      </c>
    </row>
    <row customHeight="1" ht="11.25">
      <c r="A39" s="373" t="s">
        <v>16</v>
      </c>
      <c r="B39" s="0" t="s">
        <v>3446</v>
      </c>
      <c r="C39" s="0" t="s">
        <v>3447</v>
      </c>
      <c r="D39" s="0" t="s">
        <v>3448</v>
      </c>
      <c r="E39" s="0" t="s">
        <v>3449</v>
      </c>
      <c r="F39" s="0" t="s">
        <v>3382</v>
      </c>
      <c r="G39" s="0" t="s">
        <v>1615</v>
      </c>
    </row>
    <row customHeight="1" ht="11.25">
      <c r="A40" s="373" t="s">
        <v>16</v>
      </c>
      <c r="B40" s="0" t="s">
        <v>3446</v>
      </c>
      <c r="C40" s="0" t="s">
        <v>3447</v>
      </c>
      <c r="D40" s="0" t="s">
        <v>3450</v>
      </c>
      <c r="E40" s="0" t="s">
        <v>3451</v>
      </c>
      <c r="F40" s="0" t="s">
        <v>3408</v>
      </c>
      <c r="G40" s="0" t="s">
        <v>1620</v>
      </c>
    </row>
    <row customHeight="1" ht="11.25">
      <c r="A41" s="373" t="s">
        <v>16</v>
      </c>
      <c r="B41" s="0" t="s">
        <v>3446</v>
      </c>
      <c r="C41" s="0" t="s">
        <v>3447</v>
      </c>
      <c r="D41" s="0" t="s">
        <v>3452</v>
      </c>
      <c r="E41" s="0" t="s">
        <v>3453</v>
      </c>
      <c r="F41" s="0" t="s">
        <v>3382</v>
      </c>
      <c r="G41" s="0" t="s">
        <v>1624</v>
      </c>
    </row>
    <row customHeight="1" ht="11.25">
      <c r="A42" s="373" t="s">
        <v>16</v>
      </c>
      <c r="B42" s="0" t="s">
        <v>3446</v>
      </c>
      <c r="C42" s="0" t="s">
        <v>3447</v>
      </c>
      <c r="D42" s="0" t="s">
        <v>3454</v>
      </c>
      <c r="E42" s="0" t="s">
        <v>3455</v>
      </c>
      <c r="F42" s="0" t="s">
        <v>3382</v>
      </c>
      <c r="G42" s="0" t="s">
        <v>1627</v>
      </c>
    </row>
    <row customHeight="1" ht="11.25">
      <c r="A43" s="373" t="s">
        <v>16</v>
      </c>
      <c r="B43" s="0" t="s">
        <v>3446</v>
      </c>
      <c r="C43" s="0" t="s">
        <v>3447</v>
      </c>
      <c r="D43" s="0" t="s">
        <v>3411</v>
      </c>
      <c r="E43" s="0" t="s">
        <v>3456</v>
      </c>
      <c r="F43" s="0" t="s">
        <v>3382</v>
      </c>
      <c r="G43" s="0" t="s">
        <v>1634</v>
      </c>
    </row>
    <row customHeight="1" ht="11.25">
      <c r="A44" s="373" t="s">
        <v>16</v>
      </c>
      <c r="B44" s="0" t="s">
        <v>3446</v>
      </c>
      <c r="C44" s="0" t="s">
        <v>3447</v>
      </c>
      <c r="D44" s="0" t="s">
        <v>3457</v>
      </c>
      <c r="E44" s="0" t="s">
        <v>3458</v>
      </c>
      <c r="F44" s="0" t="s">
        <v>3382</v>
      </c>
      <c r="G44" s="0" t="s">
        <v>1643</v>
      </c>
    </row>
    <row customHeight="1" ht="11.25">
      <c r="A45" s="373" t="s">
        <v>16</v>
      </c>
      <c r="B45" s="0" t="s">
        <v>3446</v>
      </c>
      <c r="C45" s="0" t="s">
        <v>3447</v>
      </c>
      <c r="D45" s="0" t="s">
        <v>3446</v>
      </c>
      <c r="E45" s="0" t="s">
        <v>3447</v>
      </c>
      <c r="F45" s="0" t="s">
        <v>3383</v>
      </c>
      <c r="G45" s="0" t="s">
        <v>1648</v>
      </c>
    </row>
    <row customHeight="1" ht="11.25">
      <c r="A46" s="373" t="s">
        <v>16</v>
      </c>
      <c r="B46" s="0" t="s">
        <v>3446</v>
      </c>
      <c r="C46" s="0" t="s">
        <v>3447</v>
      </c>
      <c r="D46" s="0" t="s">
        <v>3459</v>
      </c>
      <c r="E46" s="0" t="s">
        <v>3460</v>
      </c>
      <c r="F46" s="0" t="s">
        <v>3382</v>
      </c>
      <c r="G46" s="0" t="s">
        <v>1651</v>
      </c>
    </row>
    <row customHeight="1" ht="11.25">
      <c r="A47" s="373" t="s">
        <v>16</v>
      </c>
      <c r="B47" s="0" t="s">
        <v>3461</v>
      </c>
      <c r="C47" s="0" t="s">
        <v>3462</v>
      </c>
      <c r="D47" s="0" t="s">
        <v>3461</v>
      </c>
      <c r="E47" s="0" t="s">
        <v>3462</v>
      </c>
      <c r="F47" s="0" t="s">
        <v>3371</v>
      </c>
      <c r="G47" s="0" t="s">
        <v>1657</v>
      </c>
    </row>
    <row customHeight="1" ht="11.25">
      <c r="A48" s="373" t="s">
        <v>16</v>
      </c>
      <c r="B48" s="0" t="s">
        <v>3463</v>
      </c>
      <c r="C48" s="0" t="s">
        <v>3464</v>
      </c>
      <c r="D48" s="0" t="s">
        <v>3463</v>
      </c>
      <c r="E48" s="0" t="s">
        <v>3464</v>
      </c>
      <c r="F48" s="0" t="s">
        <v>3371</v>
      </c>
      <c r="G48" s="0" t="s">
        <v>1662</v>
      </c>
    </row>
    <row customHeight="1" ht="11.25">
      <c r="A49" s="373" t="s">
        <v>16</v>
      </c>
      <c r="B49" s="0" t="s">
        <v>3465</v>
      </c>
      <c r="C49" s="0" t="s">
        <v>3466</v>
      </c>
      <c r="D49" s="0" t="s">
        <v>3465</v>
      </c>
      <c r="E49" s="0" t="s">
        <v>3466</v>
      </c>
      <c r="F49" s="0" t="s">
        <v>3371</v>
      </c>
      <c r="G49" s="0" t="s">
        <v>1665</v>
      </c>
    </row>
    <row customHeight="1" ht="11.25">
      <c r="A50" s="373" t="s">
        <v>16</v>
      </c>
      <c r="B50" s="0" t="s">
        <v>3467</v>
      </c>
      <c r="C50" s="0" t="s">
        <v>3468</v>
      </c>
      <c r="D50" s="0" t="s">
        <v>3467</v>
      </c>
      <c r="E50" s="0" t="s">
        <v>3468</v>
      </c>
      <c r="F50" s="0" t="s">
        <v>3371</v>
      </c>
      <c r="G50" s="0" t="s">
        <v>1669</v>
      </c>
    </row>
    <row customHeight="1" ht="11.25">
      <c r="A51" s="373" t="s">
        <v>16</v>
      </c>
      <c r="B51" s="0" t="s">
        <v>3469</v>
      </c>
      <c r="C51" s="0" t="s">
        <v>3470</v>
      </c>
      <c r="D51" s="0" t="s">
        <v>3469</v>
      </c>
      <c r="E51" s="0" t="s">
        <v>3470</v>
      </c>
      <c r="F51" s="0" t="s">
        <v>3371</v>
      </c>
      <c r="G51" s="0" t="s">
        <v>1674</v>
      </c>
    </row>
    <row customHeight="1" ht="11.25">
      <c r="A52" s="373" t="s">
        <v>16</v>
      </c>
      <c r="B52" s="0" t="s">
        <v>3471</v>
      </c>
      <c r="C52" s="0" t="s">
        <v>3472</v>
      </c>
      <c r="D52" s="0" t="s">
        <v>3471</v>
      </c>
      <c r="E52" s="0" t="s">
        <v>3472</v>
      </c>
      <c r="F52" s="0" t="s">
        <v>3371</v>
      </c>
      <c r="G52" s="0" t="s">
        <v>1678</v>
      </c>
    </row>
    <row customHeight="1" ht="11.25">
      <c r="A53" s="373" t="s">
        <v>16</v>
      </c>
      <c r="B53" s="0" t="s">
        <v>3473</v>
      </c>
      <c r="C53" s="0" t="s">
        <v>3474</v>
      </c>
      <c r="D53" s="0" t="s">
        <v>3473</v>
      </c>
      <c r="E53" s="0" t="s">
        <v>3474</v>
      </c>
      <c r="F53" s="0" t="s">
        <v>3371</v>
      </c>
      <c r="G53" s="0" t="s">
        <v>1680</v>
      </c>
    </row>
    <row customHeight="1" ht="11.25">
      <c r="A54" s="373" t="s">
        <v>16</v>
      </c>
      <c r="B54" s="0" t="s">
        <v>3475</v>
      </c>
      <c r="C54" s="0" t="s">
        <v>3476</v>
      </c>
      <c r="D54" s="0" t="s">
        <v>3475</v>
      </c>
      <c r="E54" s="0" t="s">
        <v>3476</v>
      </c>
      <c r="F54" s="0" t="s">
        <v>3371</v>
      </c>
      <c r="G54" s="0" t="s">
        <v>1683</v>
      </c>
    </row>
    <row customHeight="1" ht="11.25">
      <c r="A55" s="373" t="s">
        <v>16</v>
      </c>
      <c r="B55" s="0" t="s">
        <v>3477</v>
      </c>
      <c r="C55" s="0" t="s">
        <v>3478</v>
      </c>
      <c r="D55" s="0" t="s">
        <v>3477</v>
      </c>
      <c r="E55" s="0" t="s">
        <v>3478</v>
      </c>
      <c r="F55" s="0" t="s">
        <v>3371</v>
      </c>
      <c r="G55" s="0" t="s">
        <v>1687</v>
      </c>
    </row>
    <row customHeight="1" ht="11.25">
      <c r="A56" s="373" t="s">
        <v>16</v>
      </c>
      <c r="B56" s="0" t="s">
        <v>3479</v>
      </c>
      <c r="C56" s="0" t="s">
        <v>3480</v>
      </c>
      <c r="D56" s="0" t="s">
        <v>3481</v>
      </c>
      <c r="E56" s="0" t="s">
        <v>3482</v>
      </c>
      <c r="F56" s="0" t="s">
        <v>3382</v>
      </c>
      <c r="G56" s="0" t="s">
        <v>1690</v>
      </c>
    </row>
    <row customHeight="1" ht="11.25">
      <c r="A57" s="373" t="s">
        <v>16</v>
      </c>
      <c r="B57" s="0" t="s">
        <v>3479</v>
      </c>
      <c r="C57" s="0" t="s">
        <v>3480</v>
      </c>
      <c r="D57" s="0" t="s">
        <v>3483</v>
      </c>
      <c r="E57" s="0" t="s">
        <v>3484</v>
      </c>
      <c r="F57" s="0" t="s">
        <v>3382</v>
      </c>
      <c r="G57" s="0" t="s">
        <v>1693</v>
      </c>
    </row>
    <row customHeight="1" ht="11.25">
      <c r="A58" s="373" t="s">
        <v>16</v>
      </c>
      <c r="B58" s="0" t="s">
        <v>3479</v>
      </c>
      <c r="C58" s="0" t="s">
        <v>3480</v>
      </c>
      <c r="D58" s="0" t="s">
        <v>3485</v>
      </c>
      <c r="E58" s="0" t="s">
        <v>3486</v>
      </c>
      <c r="F58" s="0" t="s">
        <v>3382</v>
      </c>
      <c r="G58" s="0" t="s">
        <v>1696</v>
      </c>
    </row>
    <row customHeight="1" ht="11.25">
      <c r="A59" s="373" t="s">
        <v>16</v>
      </c>
      <c r="B59" s="0" t="s">
        <v>3479</v>
      </c>
      <c r="C59" s="0" t="s">
        <v>3480</v>
      </c>
      <c r="D59" s="0" t="s">
        <v>3487</v>
      </c>
      <c r="E59" s="0" t="s">
        <v>3488</v>
      </c>
      <c r="F59" s="0" t="s">
        <v>3382</v>
      </c>
      <c r="G59" s="0" t="s">
        <v>1700</v>
      </c>
    </row>
    <row customHeight="1" ht="11.25">
      <c r="A60" s="373" t="s">
        <v>16</v>
      </c>
      <c r="B60" s="0" t="s">
        <v>3479</v>
      </c>
      <c r="C60" s="0" t="s">
        <v>3480</v>
      </c>
      <c r="D60" s="0" t="s">
        <v>3489</v>
      </c>
      <c r="E60" s="0" t="s">
        <v>3490</v>
      </c>
      <c r="F60" s="0" t="s">
        <v>3382</v>
      </c>
      <c r="G60" s="0" t="s">
        <v>1703</v>
      </c>
    </row>
    <row customHeight="1" ht="11.25">
      <c r="A61" s="373" t="s">
        <v>16</v>
      </c>
      <c r="B61" s="0" t="s">
        <v>3479</v>
      </c>
      <c r="C61" s="0" t="s">
        <v>3480</v>
      </c>
      <c r="D61" s="0" t="s">
        <v>3491</v>
      </c>
      <c r="E61" s="0" t="s">
        <v>3492</v>
      </c>
      <c r="F61" s="0" t="s">
        <v>3382</v>
      </c>
      <c r="G61" s="0" t="s">
        <v>3493</v>
      </c>
    </row>
    <row customHeight="1" ht="11.25">
      <c r="A62" s="373" t="s">
        <v>16</v>
      </c>
      <c r="B62" s="0" t="s">
        <v>3479</v>
      </c>
      <c r="C62" s="0" t="s">
        <v>3480</v>
      </c>
      <c r="D62" s="0" t="s">
        <v>3494</v>
      </c>
      <c r="E62" s="0" t="s">
        <v>3495</v>
      </c>
      <c r="F62" s="0" t="s">
        <v>3382</v>
      </c>
      <c r="G62" s="0" t="s">
        <v>3496</v>
      </c>
    </row>
    <row customHeight="1" ht="11.25">
      <c r="A63" s="373" t="s">
        <v>16</v>
      </c>
      <c r="B63" s="0" t="s">
        <v>3479</v>
      </c>
      <c r="C63" s="0" t="s">
        <v>3480</v>
      </c>
      <c r="D63" s="0" t="s">
        <v>3497</v>
      </c>
      <c r="E63" s="0" t="s">
        <v>3498</v>
      </c>
      <c r="F63" s="0" t="s">
        <v>3382</v>
      </c>
      <c r="G63" s="0" t="s">
        <v>3499</v>
      </c>
    </row>
    <row customHeight="1" ht="11.25">
      <c r="A64" s="373" t="s">
        <v>16</v>
      </c>
      <c r="B64" s="0" t="s">
        <v>3479</v>
      </c>
      <c r="C64" s="0" t="s">
        <v>3480</v>
      </c>
      <c r="D64" s="0" t="s">
        <v>3500</v>
      </c>
      <c r="E64" s="0" t="s">
        <v>3501</v>
      </c>
      <c r="F64" s="0" t="s">
        <v>3382</v>
      </c>
      <c r="G64" s="0" t="s">
        <v>3502</v>
      </c>
    </row>
    <row customHeight="1" ht="11.25">
      <c r="A65" s="373" t="s">
        <v>16</v>
      </c>
      <c r="B65" s="0" t="s">
        <v>3479</v>
      </c>
      <c r="C65" s="0" t="s">
        <v>3480</v>
      </c>
      <c r="D65" s="0" t="s">
        <v>3503</v>
      </c>
      <c r="E65" s="0" t="s">
        <v>3504</v>
      </c>
      <c r="F65" s="0" t="s">
        <v>3382</v>
      </c>
      <c r="G65" s="0" t="s">
        <v>3505</v>
      </c>
    </row>
    <row customHeight="1" ht="11.25">
      <c r="A66" s="373" t="s">
        <v>16</v>
      </c>
      <c r="B66" s="0" t="s">
        <v>3479</v>
      </c>
      <c r="C66" s="0" t="s">
        <v>3480</v>
      </c>
      <c r="D66" s="0" t="s">
        <v>3479</v>
      </c>
      <c r="E66" s="0" t="s">
        <v>3480</v>
      </c>
      <c r="F66" s="0" t="s">
        <v>3383</v>
      </c>
      <c r="G66" s="0" t="s">
        <v>3506</v>
      </c>
    </row>
    <row customHeight="1" ht="11.25">
      <c r="A67" s="373" t="s">
        <v>16</v>
      </c>
      <c r="B67" s="0" t="s">
        <v>3479</v>
      </c>
      <c r="C67" s="0" t="s">
        <v>3480</v>
      </c>
      <c r="D67" s="0" t="s">
        <v>3507</v>
      </c>
      <c r="E67" s="0" t="s">
        <v>3508</v>
      </c>
      <c r="F67" s="0" t="s">
        <v>3382</v>
      </c>
      <c r="G67" s="0" t="s">
        <v>2020</v>
      </c>
    </row>
    <row customHeight="1" ht="11.25">
      <c r="A68" s="373" t="s">
        <v>16</v>
      </c>
      <c r="B68" s="0" t="s">
        <v>3479</v>
      </c>
      <c r="C68" s="0" t="s">
        <v>3480</v>
      </c>
      <c r="D68" s="0" t="s">
        <v>3509</v>
      </c>
      <c r="E68" s="0" t="s">
        <v>3510</v>
      </c>
      <c r="F68" s="0" t="s">
        <v>3382</v>
      </c>
      <c r="G68" s="0" t="s">
        <v>3511</v>
      </c>
    </row>
    <row customHeight="1" ht="11.25">
      <c r="A69" s="373" t="s">
        <v>16</v>
      </c>
      <c r="B69" s="0" t="s">
        <v>3479</v>
      </c>
      <c r="C69" s="0" t="s">
        <v>3480</v>
      </c>
      <c r="D69" s="0" t="s">
        <v>3512</v>
      </c>
      <c r="E69" s="0" t="s">
        <v>3513</v>
      </c>
      <c r="F69" s="0" t="s">
        <v>3382</v>
      </c>
      <c r="G69" s="0" t="s">
        <v>2223</v>
      </c>
    </row>
    <row customHeight="1" ht="11.25">
      <c r="A70" s="373" t="s">
        <v>16</v>
      </c>
      <c r="B70" s="0" t="s">
        <v>3514</v>
      </c>
      <c r="C70" s="0" t="s">
        <v>3515</v>
      </c>
      <c r="D70" s="0" t="s">
        <v>3516</v>
      </c>
      <c r="E70" s="0" t="s">
        <v>3517</v>
      </c>
      <c r="F70" s="0" t="s">
        <v>3382</v>
      </c>
      <c r="G70" s="0" t="s">
        <v>3518</v>
      </c>
    </row>
    <row customHeight="1" ht="11.25">
      <c r="A71" s="373" t="s">
        <v>16</v>
      </c>
      <c r="B71" s="0" t="s">
        <v>3514</v>
      </c>
      <c r="C71" s="0" t="s">
        <v>3515</v>
      </c>
      <c r="D71" s="0" t="s">
        <v>3519</v>
      </c>
      <c r="E71" s="0" t="s">
        <v>3520</v>
      </c>
      <c r="F71" s="0" t="s">
        <v>3382</v>
      </c>
      <c r="G71" s="0" t="s">
        <v>3521</v>
      </c>
    </row>
    <row customHeight="1" ht="11.25">
      <c r="A72" s="373" t="s">
        <v>16</v>
      </c>
      <c r="B72" s="0" t="s">
        <v>3514</v>
      </c>
      <c r="C72" s="0" t="s">
        <v>3515</v>
      </c>
      <c r="D72" s="0" t="s">
        <v>3459</v>
      </c>
      <c r="E72" s="0" t="s">
        <v>3522</v>
      </c>
      <c r="F72" s="0" t="s">
        <v>3382</v>
      </c>
      <c r="G72" s="0" t="s">
        <v>3523</v>
      </c>
    </row>
    <row customHeight="1" ht="11.25">
      <c r="A73" s="373" t="s">
        <v>16</v>
      </c>
      <c r="B73" s="0" t="s">
        <v>3514</v>
      </c>
      <c r="C73" s="0" t="s">
        <v>3515</v>
      </c>
      <c r="D73" s="0" t="s">
        <v>3524</v>
      </c>
      <c r="E73" s="0" t="s">
        <v>3525</v>
      </c>
      <c r="F73" s="0" t="s">
        <v>3382</v>
      </c>
      <c r="G73" s="0" t="s">
        <v>3526</v>
      </c>
    </row>
    <row customHeight="1" ht="11.25">
      <c r="A74" s="373" t="s">
        <v>16</v>
      </c>
      <c r="B74" s="0" t="s">
        <v>3514</v>
      </c>
      <c r="C74" s="0" t="s">
        <v>3515</v>
      </c>
      <c r="D74" s="0" t="s">
        <v>3527</v>
      </c>
      <c r="E74" s="0" t="s">
        <v>3528</v>
      </c>
      <c r="F74" s="0" t="s">
        <v>3529</v>
      </c>
      <c r="G74" s="0" t="s">
        <v>3530</v>
      </c>
    </row>
    <row customHeight="1" ht="11.25">
      <c r="A75" s="373" t="s">
        <v>16</v>
      </c>
      <c r="B75" s="0" t="s">
        <v>3514</v>
      </c>
      <c r="C75" s="0" t="s">
        <v>3515</v>
      </c>
      <c r="D75" s="0" t="s">
        <v>3531</v>
      </c>
      <c r="E75" s="0" t="s">
        <v>3532</v>
      </c>
      <c r="F75" s="0" t="s">
        <v>3382</v>
      </c>
      <c r="G75" s="0" t="s">
        <v>3533</v>
      </c>
    </row>
    <row customHeight="1" ht="11.25">
      <c r="A76" s="373" t="s">
        <v>16</v>
      </c>
      <c r="B76" s="0" t="s">
        <v>3514</v>
      </c>
      <c r="C76" s="0" t="s">
        <v>3515</v>
      </c>
      <c r="D76" s="0" t="s">
        <v>3534</v>
      </c>
      <c r="E76" s="0" t="s">
        <v>3535</v>
      </c>
      <c r="F76" s="0" t="s">
        <v>3382</v>
      </c>
      <c r="G76" s="0" t="s">
        <v>3536</v>
      </c>
    </row>
    <row customHeight="1" ht="11.25">
      <c r="A77" s="373" t="s">
        <v>16</v>
      </c>
      <c r="B77" s="0" t="s">
        <v>3514</v>
      </c>
      <c r="C77" s="0" t="s">
        <v>3515</v>
      </c>
      <c r="D77" s="0" t="s">
        <v>3537</v>
      </c>
      <c r="E77" s="0" t="s">
        <v>3538</v>
      </c>
      <c r="F77" s="0" t="s">
        <v>3382</v>
      </c>
      <c r="G77" s="0" t="s">
        <v>3539</v>
      </c>
    </row>
    <row customHeight="1" ht="11.25">
      <c r="A78" s="373" t="s">
        <v>16</v>
      </c>
      <c r="B78" s="0" t="s">
        <v>3514</v>
      </c>
      <c r="C78" s="0" t="s">
        <v>3515</v>
      </c>
      <c r="D78" s="0" t="s">
        <v>3540</v>
      </c>
      <c r="E78" s="0" t="s">
        <v>3541</v>
      </c>
      <c r="F78" s="0" t="s">
        <v>3382</v>
      </c>
      <c r="G78" s="0" t="s">
        <v>3542</v>
      </c>
    </row>
    <row customHeight="1" ht="11.25">
      <c r="A79" s="373" t="s">
        <v>16</v>
      </c>
      <c r="B79" s="0" t="s">
        <v>3514</v>
      </c>
      <c r="C79" s="0" t="s">
        <v>3515</v>
      </c>
      <c r="D79" s="0" t="s">
        <v>3514</v>
      </c>
      <c r="E79" s="0" t="s">
        <v>3515</v>
      </c>
      <c r="F79" s="0" t="s">
        <v>3383</v>
      </c>
      <c r="G79" s="0" t="s">
        <v>3543</v>
      </c>
    </row>
  </sheetData>
  <sheetProtection sort="0" autoFilter="0" insertRows="0" insertColumns="1" deleteRows="0" deleteColumns="0"/>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7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E885EA5-9EE8-738F-ADE5-465BD4ED96AB}" mc:Ignorable="x14ac xr xr2 xr3">
  <sheetPr>
    <tabColor rgb="FFFFCC99"/>
  </sheetPr>
  <dimension ref="A1:I19"/>
  <sheetViews>
    <sheetView topLeftCell="A1" showGridLines="0" workbookViewId="0">
      <selection activeCell="A1" sqref="A1"/>
    </sheetView>
  </sheetViews>
  <sheetFormatPr defaultColWidth="9.140625" customHeight="1" defaultRowHeight="11.25"/>
  <cols>
    <col min="1" max="1" style="1691" width="13.8515625" customWidth="1"/>
    <col min="2" max="2" style="1691" width="10.421875" customWidth="1"/>
    <col min="3" max="3" style="1691" width="7.57421875" customWidth="1"/>
    <col min="4" max="4" style="1691" width="13.8515625" customWidth="1"/>
    <col min="5" max="5" style="1691" width="11.57421875" customWidth="1"/>
    <col min="6" max="6" style="1691" width="16.28125" customWidth="1"/>
    <col min="7" max="7" style="1691" width="16.00390625" customWidth="1"/>
    <col min="8" max="9" style="1691" width="16.140625" customWidth="1"/>
  </cols>
  <sheetData>
    <row customHeight="1" ht="11.25">
      <c r="A1" s="835" t="s">
        <v>3544</v>
      </c>
      <c r="B1" s="835" t="s">
        <v>3545</v>
      </c>
      <c r="C1" s="1159" t="s">
        <v>3546</v>
      </c>
      <c r="D1" s="835" t="s">
        <v>3547</v>
      </c>
      <c r="E1" s="835" t="s">
        <v>3548</v>
      </c>
      <c r="F1" s="1159" t="s">
        <v>3549</v>
      </c>
      <c r="G1" s="1159" t="s">
        <v>3550</v>
      </c>
      <c r="H1" s="1159" t="s">
        <v>3551</v>
      </c>
      <c r="I1" s="1159" t="s">
        <v>3552</v>
      </c>
    </row>
    <row customHeight="1" ht="11.25">
      <c r="A2" s="1691" t="s">
        <v>109</v>
      </c>
      <c r="B2" s="1691" t="s">
        <v>3553</v>
      </c>
      <c r="C2" s="1691" t="s">
        <v>22</v>
      </c>
      <c r="D2" s="1691" t="s">
        <v>3554</v>
      </c>
      <c r="E2" s="1691" t="s">
        <v>3555</v>
      </c>
      <c r="F2" s="1691" t="s">
        <v>22</v>
      </c>
      <c r="G2" s="1691" t="s">
        <v>22</v>
      </c>
      <c r="H2" s="1691" t="s">
        <v>22</v>
      </c>
      <c r="I2" s="1691" t="s">
        <v>22</v>
      </c>
    </row>
    <row customHeight="1" ht="11.25">
      <c r="A3" s="1691" t="s">
        <v>110</v>
      </c>
      <c r="B3" s="1691" t="s">
        <v>3556</v>
      </c>
      <c r="C3" s="1691" t="s">
        <v>22</v>
      </c>
      <c r="D3" s="1691" t="s">
        <v>3557</v>
      </c>
      <c r="E3" s="1691" t="s">
        <v>3558</v>
      </c>
      <c r="F3" s="1691" t="s">
        <v>22</v>
      </c>
      <c r="G3" s="1691" t="s">
        <v>22</v>
      </c>
      <c r="H3" s="1691" t="s">
        <v>22</v>
      </c>
      <c r="I3" s="1691" t="s">
        <v>22</v>
      </c>
    </row>
    <row customHeight="1" ht="11.25">
      <c r="A4" s="1691" t="s">
        <v>90</v>
      </c>
      <c r="B4" s="1691" t="s">
        <v>3559</v>
      </c>
      <c r="C4" s="1691" t="s">
        <v>22</v>
      </c>
      <c r="D4" s="1691" t="s">
        <v>3560</v>
      </c>
      <c r="E4" s="1691" t="s">
        <v>3561</v>
      </c>
      <c r="F4" s="1691" t="s">
        <v>22</v>
      </c>
      <c r="G4" s="1691" t="s">
        <v>22</v>
      </c>
      <c r="H4" s="1691" t="s">
        <v>22</v>
      </c>
      <c r="I4" s="1691" t="s">
        <v>22</v>
      </c>
    </row>
    <row customHeight="1" ht="11.25">
      <c r="A5" s="1691" t="s">
        <v>91</v>
      </c>
      <c r="B5" s="1691" t="s">
        <v>3562</v>
      </c>
      <c r="C5" s="1691" t="s">
        <v>22</v>
      </c>
      <c r="D5" s="1691" t="s">
        <v>3563</v>
      </c>
      <c r="E5" s="1691" t="s">
        <v>3564</v>
      </c>
      <c r="F5" s="1691" t="s">
        <v>22</v>
      </c>
      <c r="G5" s="1691" t="s">
        <v>22</v>
      </c>
      <c r="H5" s="1691" t="s">
        <v>22</v>
      </c>
      <c r="I5" s="1691" t="s">
        <v>22</v>
      </c>
    </row>
    <row customHeight="1" ht="11.25">
      <c r="A6" s="1691" t="s">
        <v>111</v>
      </c>
      <c r="B6" s="1691" t="s">
        <v>3565</v>
      </c>
      <c r="C6" s="1691" t="s">
        <v>22</v>
      </c>
      <c r="D6" s="1691" t="s">
        <v>3563</v>
      </c>
      <c r="E6" s="1691" t="s">
        <v>3564</v>
      </c>
      <c r="F6" s="1691" t="s">
        <v>22</v>
      </c>
      <c r="G6" s="1691" t="s">
        <v>22</v>
      </c>
      <c r="H6" s="1691" t="s">
        <v>22</v>
      </c>
      <c r="I6" s="1691" t="s">
        <v>22</v>
      </c>
    </row>
    <row customHeight="1" ht="11.25">
      <c r="A7" s="1691" t="s">
        <v>92</v>
      </c>
      <c r="B7" s="1691" t="s">
        <v>3566</v>
      </c>
      <c r="C7" s="1691" t="s">
        <v>22</v>
      </c>
      <c r="D7" s="1691" t="s">
        <v>3563</v>
      </c>
      <c r="E7" s="1691" t="s">
        <v>3564</v>
      </c>
      <c r="F7" s="1691" t="s">
        <v>22</v>
      </c>
      <c r="G7" s="1691" t="s">
        <v>22</v>
      </c>
      <c r="H7" s="1691" t="s">
        <v>22</v>
      </c>
      <c r="I7" s="1691" t="s">
        <v>22</v>
      </c>
    </row>
    <row customHeight="1" ht="11.25">
      <c r="A8" s="1691" t="s">
        <v>93</v>
      </c>
      <c r="B8" s="1691" t="s">
        <v>3567</v>
      </c>
      <c r="C8" s="1691" t="s">
        <v>22</v>
      </c>
      <c r="D8" s="1691" t="s">
        <v>3568</v>
      </c>
      <c r="E8" s="1691" t="s">
        <v>3569</v>
      </c>
      <c r="F8" s="1691" t="s">
        <v>22</v>
      </c>
      <c r="G8" s="1691" t="s">
        <v>22</v>
      </c>
      <c r="H8" s="1691" t="s">
        <v>22</v>
      </c>
      <c r="I8" s="1691" t="s">
        <v>22</v>
      </c>
    </row>
    <row customHeight="1" ht="11.25">
      <c r="A9" s="1691" t="s">
        <v>112</v>
      </c>
      <c r="B9" s="1691" t="s">
        <v>3570</v>
      </c>
      <c r="C9" s="1691" t="s">
        <v>22</v>
      </c>
      <c r="D9" s="1691" t="s">
        <v>3563</v>
      </c>
      <c r="E9" s="1691" t="s">
        <v>3555</v>
      </c>
      <c r="F9" s="1691" t="s">
        <v>22</v>
      </c>
      <c r="G9" s="1691" t="s">
        <v>22</v>
      </c>
      <c r="H9" s="1691" t="s">
        <v>22</v>
      </c>
      <c r="I9" s="1691" t="s">
        <v>22</v>
      </c>
    </row>
    <row customHeight="1" ht="11.25">
      <c r="A10" s="1691" t="s">
        <v>152</v>
      </c>
      <c r="B10" s="1691" t="s">
        <v>3571</v>
      </c>
      <c r="C10" s="1691" t="s">
        <v>22</v>
      </c>
      <c r="D10" s="1691" t="s">
        <v>3563</v>
      </c>
      <c r="E10" s="1691" t="s">
        <v>3572</v>
      </c>
      <c r="F10" s="1691" t="s">
        <v>22</v>
      </c>
      <c r="G10" s="1691" t="s">
        <v>22</v>
      </c>
      <c r="H10" s="1691" t="s">
        <v>22</v>
      </c>
      <c r="I10" s="1691" t="s">
        <v>22</v>
      </c>
    </row>
    <row customHeight="1" ht="11.25">
      <c r="A11" s="1691" t="s">
        <v>153</v>
      </c>
      <c r="B11" s="1691" t="s">
        <v>3573</v>
      </c>
      <c r="C11" s="1691" t="s">
        <v>22</v>
      </c>
      <c r="D11" s="1691" t="s">
        <v>3563</v>
      </c>
      <c r="E11" s="1691" t="s">
        <v>3555</v>
      </c>
      <c r="F11" s="1691" t="s">
        <v>22</v>
      </c>
      <c r="G11" s="1691" t="s">
        <v>22</v>
      </c>
      <c r="H11" s="1691" t="s">
        <v>22</v>
      </c>
      <c r="I11" s="1691" t="s">
        <v>22</v>
      </c>
    </row>
    <row customHeight="1" ht="11.25">
      <c r="A12" s="1691" t="s">
        <v>154</v>
      </c>
      <c r="B12" s="1691" t="s">
        <v>3574</v>
      </c>
      <c r="C12" s="1691" t="s">
        <v>22</v>
      </c>
      <c r="D12" s="1691" t="s">
        <v>3563</v>
      </c>
      <c r="E12" s="1691" t="s">
        <v>3555</v>
      </c>
      <c r="F12" s="1691" t="s">
        <v>22</v>
      </c>
      <c r="G12" s="1691" t="s">
        <v>22</v>
      </c>
      <c r="H12" s="1691" t="s">
        <v>22</v>
      </c>
      <c r="I12" s="1691" t="s">
        <v>22</v>
      </c>
    </row>
    <row customHeight="1" ht="11.25">
      <c r="A13" s="1691" t="s">
        <v>155</v>
      </c>
      <c r="B13" s="1691" t="s">
        <v>3575</v>
      </c>
      <c r="C13" s="1691" t="s">
        <v>22</v>
      </c>
      <c r="D13" s="1691" t="s">
        <v>3576</v>
      </c>
      <c r="E13" s="1691" t="s">
        <v>3555</v>
      </c>
      <c r="F13" s="1691" t="s">
        <v>22</v>
      </c>
      <c r="G13" s="1691" t="s">
        <v>22</v>
      </c>
      <c r="H13" s="1691" t="s">
        <v>22</v>
      </c>
      <c r="I13" s="1691" t="s">
        <v>22</v>
      </c>
    </row>
    <row customHeight="1" ht="11.25">
      <c r="A14" s="1691" t="s">
        <v>156</v>
      </c>
      <c r="B14" s="1691" t="s">
        <v>3577</v>
      </c>
      <c r="C14" s="1691" t="s">
        <v>22</v>
      </c>
      <c r="D14" s="1691" t="s">
        <v>3576</v>
      </c>
      <c r="E14" s="1691" t="s">
        <v>3564</v>
      </c>
      <c r="F14" s="1691" t="s">
        <v>22</v>
      </c>
      <c r="G14" s="1691" t="s">
        <v>22</v>
      </c>
      <c r="H14" s="1691" t="s">
        <v>22</v>
      </c>
      <c r="I14" s="1691" t="s">
        <v>22</v>
      </c>
    </row>
    <row customHeight="1" ht="11.25">
      <c r="A15" s="1691" t="s">
        <v>157</v>
      </c>
      <c r="B15" s="1691" t="s">
        <v>3578</v>
      </c>
      <c r="C15" s="1691" t="s">
        <v>22</v>
      </c>
      <c r="D15" s="1691" t="s">
        <v>3576</v>
      </c>
      <c r="E15" s="1691" t="s">
        <v>3555</v>
      </c>
      <c r="F15" s="1691" t="s">
        <v>22</v>
      </c>
      <c r="G15" s="1691" t="s">
        <v>22</v>
      </c>
      <c r="H15" s="1691" t="s">
        <v>22</v>
      </c>
      <c r="I15" s="1691" t="s">
        <v>22</v>
      </c>
    </row>
    <row customHeight="1" ht="11.25">
      <c r="A16" s="1691" t="s">
        <v>1463</v>
      </c>
      <c r="B16" s="1691" t="s">
        <v>3579</v>
      </c>
      <c r="C16" s="1691" t="s">
        <v>22</v>
      </c>
      <c r="D16" s="1691" t="s">
        <v>3554</v>
      </c>
      <c r="E16" s="1691" t="s">
        <v>3580</v>
      </c>
      <c r="F16" s="1691" t="s">
        <v>22</v>
      </c>
      <c r="G16" s="1691" t="s">
        <v>22</v>
      </c>
      <c r="H16" s="1691" t="s">
        <v>22</v>
      </c>
      <c r="I16" s="1691" t="s">
        <v>22</v>
      </c>
    </row>
    <row customHeight="1" ht="11.25">
      <c r="A17" s="1691" t="s">
        <v>1469</v>
      </c>
      <c r="B17" s="1691" t="s">
        <v>3581</v>
      </c>
      <c r="C17" s="1691" t="s">
        <v>22</v>
      </c>
      <c r="D17" s="1691" t="s">
        <v>3582</v>
      </c>
      <c r="E17" s="1691" t="s">
        <v>3558</v>
      </c>
      <c r="F17" s="1691" t="s">
        <v>22</v>
      </c>
      <c r="G17" s="1691" t="s">
        <v>22</v>
      </c>
      <c r="H17" s="1691" t="s">
        <v>22</v>
      </c>
      <c r="I17" s="1691" t="s">
        <v>22</v>
      </c>
    </row>
    <row customHeight="1" ht="11.25">
      <c r="A18" s="1691" t="s">
        <v>1481</v>
      </c>
      <c r="B18" s="1691" t="s">
        <v>3583</v>
      </c>
      <c r="C18" s="1691" t="s">
        <v>22</v>
      </c>
      <c r="D18" s="1691" t="s">
        <v>3563</v>
      </c>
      <c r="E18" s="1691" t="s">
        <v>3584</v>
      </c>
      <c r="F18" s="1691" t="s">
        <v>22</v>
      </c>
      <c r="G18" s="1691" t="s">
        <v>22</v>
      </c>
      <c r="H18" s="1691" t="s">
        <v>22</v>
      </c>
      <c r="I18" s="1691" t="s">
        <v>22</v>
      </c>
    </row>
    <row customHeight="1" ht="11.25">
      <c r="A19" s="1691" t="s">
        <v>1495</v>
      </c>
      <c r="B19" s="1691" t="s">
        <v>3585</v>
      </c>
      <c r="C19" s="1691" t="s">
        <v>22</v>
      </c>
      <c r="D19" s="1691" t="s">
        <v>3563</v>
      </c>
      <c r="E19" s="1691" t="s">
        <v>3584</v>
      </c>
      <c r="F19" s="1691" t="s">
        <v>22</v>
      </c>
      <c r="G19" s="1691" t="s">
        <v>22</v>
      </c>
      <c r="H19" s="1691" t="s">
        <v>22</v>
      </c>
      <c r="I19" s="1691" t="s">
        <v>22</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8B7C9A1-9BF6-0D78-5138-24B96C06BF83}" mc:Ignorable="x14ac xr xr2 xr3">
  <sheetPr>
    <tabColor rgb="FFFFCC99"/>
  </sheetPr>
  <dimension ref="A1:A1"/>
  <sheetViews>
    <sheetView topLeftCell="A1"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D2DB07C-3F6B-3D88-4811-C8722381C1BE}" mc:Ignorable="x14ac xr xr2 xr3">
  <sheetPr>
    <tabColor theme="3" tint="0.6"/>
  </sheetPr>
  <dimension ref="A1:AT18"/>
  <sheetViews>
    <sheetView showGridLines="0" zoomScale="90" workbookViewId="0">
      <pane xSplit="5" ySplit="11" topLeftCell="F12" activePane="bottomRight" state="frozen"/>
      <selection pane="bottomLeft" activeCell="A12" sqref="A12"/>
      <selection pane="topRight" activeCell="F1" sqref="F1"/>
      <selection pane="bottomRight" activeCell="A1" sqref="A1"/>
    </sheetView>
  </sheetViews>
  <sheetFormatPr defaultColWidth="10.57421875" customHeight="1" defaultRowHeight="14.25"/>
  <cols>
    <col min="1" max="1" style="1632" width="9.140625" hidden="1" customWidth="1"/>
    <col min="2" max="2" style="1635" width="9.140625" hidden="1" customWidth="1"/>
    <col min="3" max="3" style="1842" width="3.00390625" customWidth="1"/>
    <col min="4" max="4" style="1635" width="5.00390625" customWidth="1"/>
    <col min="5" max="5" style="1635" width="48.00390625" customWidth="1"/>
    <col min="6" max="6" style="1635" width="38.00390625" customWidth="1"/>
    <col min="7" max="7" style="1635" width="1.7109375" hidden="1" customWidth="1"/>
    <col min="8" max="11" style="1635" width="19.8515625" customWidth="1"/>
    <col min="12" max="12" style="1635" width="9.7109375" customWidth="1"/>
    <col min="13" max="18" style="1635" width="19.8515625" customWidth="1"/>
    <col min="19" max="19" style="1635" width="1.7109375" hidden="1" customWidth="1"/>
    <col min="20" max="22" style="1635" width="19.8515625" hidden="1" customWidth="1"/>
    <col min="23" max="23" style="1635" width="1.7109375" hidden="1" customWidth="1"/>
    <col min="24" max="26" style="1635" width="19.8515625" hidden="1" customWidth="1"/>
    <col min="27" max="27" style="1635" width="1.7109375" hidden="1" customWidth="1"/>
    <col min="28" max="29" style="1635" width="19.8515625" hidden="1" customWidth="1"/>
    <col min="30" max="30" style="1635" width="1.7109375" hidden="1" customWidth="1"/>
    <col min="31" max="31" style="1635" width="103.7109375" customWidth="1"/>
    <col min="32" max="34" style="1635" width="103.7109375" hidden="1" customWidth="1"/>
    <col min="35" max="35" style="1819" width="3.00390625" customWidth="1"/>
    <col min="36" max="38" style="1642" width="10.00390625" customWidth="1"/>
    <col min="39" max="39" style="1642" width="13.7109375" hidden="1" customWidth="1"/>
    <col min="40" max="40" style="1642" width="15.00390625" customWidth="1"/>
    <col min="41" max="41" style="1642" width="16.00390625" customWidth="1"/>
    <col min="42" max="45" style="1642" width="10.00390625" customWidth="1"/>
    <col min="46" max="46" style="1635" width="10.57421875" hidden="1"/>
  </cols>
  <sheetData>
    <row customHeight="1" ht="22.5" hidden="1">
      <c r="E1" s="412"/>
      <c r="F1" s="412"/>
      <c r="G1" s="412"/>
      <c r="H1" s="2217" t="s">
        <v>354</v>
      </c>
      <c r="I1" s="2217"/>
      <c r="J1" s="2217"/>
      <c r="K1" s="2217"/>
      <c r="L1" s="2217"/>
      <c r="M1" s="2217"/>
      <c r="N1" s="2217"/>
      <c r="O1" s="2217"/>
      <c r="P1" s="2217"/>
      <c r="Q1" s="2217"/>
      <c r="R1" s="2217"/>
      <c r="T1" s="2217" t="s">
        <v>355</v>
      </c>
      <c r="U1" s="2217"/>
      <c r="V1" s="2217"/>
      <c r="X1" s="2217" t="s">
        <v>356</v>
      </c>
      <c r="Y1" s="2217"/>
      <c r="Z1" s="2217"/>
      <c r="AB1" s="2217" t="s">
        <v>357</v>
      </c>
      <c r="AC1" s="2217"/>
      <c r="AT1" s="447" t="s">
        <v>14</v>
      </c>
    </row>
    <row customHeight="1" ht="14.25" hidden="1">
      <c r="AT2" s="447">
        <v>0</v>
      </c>
    </row>
    <row s="1613" customFormat="1" customHeight="1" ht="5.25">
      <c r="C3" s="701"/>
      <c r="D3" s="702"/>
      <c r="E3" s="702"/>
      <c r="F3" s="702"/>
      <c r="G3" s="702"/>
      <c r="H3" s="702" t="s">
        <v>358</v>
      </c>
      <c r="I3" s="702"/>
      <c r="J3" s="702"/>
      <c r="K3" s="702"/>
      <c r="L3" s="702"/>
      <c r="M3" s="702"/>
      <c r="N3" s="702"/>
      <c r="O3" s="702"/>
      <c r="P3" s="702"/>
      <c r="Q3" s="702"/>
      <c r="R3" s="702"/>
      <c r="S3" s="702"/>
      <c r="T3" s="702"/>
      <c r="U3" s="702"/>
      <c r="V3" s="702"/>
      <c r="W3" s="702"/>
      <c r="X3" s="702"/>
      <c r="Y3" s="702"/>
      <c r="Z3" s="702"/>
      <c r="AA3" s="702"/>
      <c r="AB3" s="702"/>
      <c r="AC3" s="702"/>
      <c r="AD3" s="702"/>
      <c r="AE3" s="702"/>
      <c r="AF3" s="702"/>
      <c r="AG3" s="702"/>
      <c r="AH3" s="702"/>
      <c r="AJ3" s="511"/>
      <c r="AK3" s="511"/>
      <c r="AL3" s="511"/>
      <c r="AM3" s="511"/>
      <c r="AN3" s="511"/>
      <c r="AO3" s="511"/>
      <c r="AP3" s="511"/>
      <c r="AQ3" s="511"/>
      <c r="AR3" s="511"/>
      <c r="AS3" s="511"/>
      <c r="AT3" s="700">
        <v>5</v>
      </c>
    </row>
    <row customHeight="1" ht="39.75">
      <c r="C4" s="450"/>
      <c r="D4" s="2157" t="str">
        <f>ORG_VD_NAME_FORM</f>
        <v>Форма 2. Общая информация об объектах теплоснабжения регулируемой организации, единой теплоснабжающей организации в ценовых зонах теплоснабжения, теплоснабжающей организации в ценовых зонах теплоснабжения и теплосетевой организации в ценовых зонах теплоснабжения</v>
      </c>
      <c r="E4" s="2158"/>
      <c r="F4" s="2158"/>
      <c r="G4" s="2158"/>
      <c r="H4" s="2158"/>
      <c r="I4" s="2158"/>
      <c r="J4" s="2158"/>
      <c r="K4" s="2158"/>
      <c r="L4" s="2158"/>
      <c r="M4" s="2158"/>
      <c r="N4" s="2158"/>
      <c r="O4" s="2158"/>
      <c r="P4" s="2158"/>
      <c r="Q4" s="2158"/>
      <c r="R4" s="2159"/>
      <c r="S4" s="853"/>
      <c r="T4" s="699"/>
      <c r="U4" s="699"/>
      <c r="V4" s="699"/>
      <c r="W4" s="699"/>
      <c r="X4" s="699"/>
      <c r="Y4" s="699"/>
      <c r="Z4" s="699"/>
      <c r="AA4" s="699"/>
      <c r="AB4" s="699"/>
      <c r="AC4" s="699"/>
      <c r="AD4" s="699"/>
      <c r="AE4" s="491"/>
      <c r="AF4" s="491"/>
      <c r="AG4" s="491"/>
      <c r="AH4" s="491"/>
      <c r="AI4" s="488"/>
      <c r="AT4" s="447">
        <v>38</v>
      </c>
    </row>
    <row s="1635" customFormat="1" customHeight="1" ht="18">
      <c r="A5" s="759"/>
      <c r="C5" s="822"/>
      <c r="D5" s="2214" t="str">
        <f>IF(org=0,"Не определено",org)</f>
        <v>ПАО "ОГК-2"</v>
      </c>
      <c r="E5" s="2215"/>
      <c r="F5" s="2215"/>
      <c r="G5" s="2215"/>
      <c r="H5" s="2215"/>
      <c r="I5" s="2215"/>
      <c r="J5" s="2215"/>
      <c r="K5" s="2215"/>
      <c r="L5" s="2215"/>
      <c r="M5" s="2215"/>
      <c r="N5" s="2215"/>
      <c r="O5" s="2215"/>
      <c r="P5" s="2215"/>
      <c r="Q5" s="2215"/>
      <c r="R5" s="2216"/>
      <c r="S5" s="853"/>
      <c r="T5" s="699"/>
      <c r="U5" s="699"/>
      <c r="V5" s="699"/>
      <c r="W5" s="699"/>
      <c r="X5" s="699"/>
      <c r="Y5" s="699"/>
      <c r="Z5" s="699"/>
      <c r="AA5" s="699"/>
      <c r="AB5" s="699"/>
      <c r="AC5" s="699"/>
      <c r="AD5" s="699"/>
      <c r="AE5" s="491"/>
      <c r="AF5" s="491"/>
      <c r="AG5" s="491"/>
      <c r="AH5" s="491"/>
      <c r="AI5" s="488"/>
      <c r="AJ5" s="511"/>
      <c r="AK5" s="511"/>
      <c r="AL5" s="511"/>
      <c r="AM5" s="511"/>
      <c r="AN5" s="511"/>
      <c r="AO5" s="511"/>
      <c r="AP5" s="511"/>
      <c r="AQ5" s="511"/>
      <c r="AR5" s="511"/>
      <c r="AS5" s="511"/>
      <c r="AT5" s="758">
        <v>17</v>
      </c>
    </row>
    <row s="1612" customFormat="1" customHeight="1" ht="11.549999999999999">
      <c r="A6" s="479"/>
      <c r="C6" s="486"/>
      <c r="D6" s="485"/>
      <c r="E6" s="485"/>
      <c r="F6" s="485"/>
      <c r="G6" s="485"/>
      <c r="H6" s="485"/>
      <c r="I6" s="485"/>
      <c r="J6" s="485"/>
      <c r="K6" s="485"/>
      <c r="L6" s="485"/>
      <c r="M6" s="485"/>
      <c r="N6" s="485"/>
      <c r="O6" s="485"/>
      <c r="P6" s="485"/>
      <c r="Q6" s="485"/>
      <c r="R6" s="752"/>
      <c r="S6" s="752"/>
      <c r="T6" s="485"/>
      <c r="U6" s="485"/>
      <c r="V6" s="712"/>
      <c r="W6" s="712"/>
      <c r="X6" s="485"/>
      <c r="Y6" s="485"/>
      <c r="Z6" s="712"/>
      <c r="AA6" s="712"/>
      <c r="AB6" s="485"/>
      <c r="AC6" s="712"/>
      <c r="AD6" s="712"/>
      <c r="AE6" s="485"/>
      <c r="AF6" s="485"/>
      <c r="AG6" s="485"/>
      <c r="AH6" s="485"/>
      <c r="AJ6" s="489"/>
      <c r="AK6" s="489"/>
      <c r="AL6" s="489"/>
      <c r="AM6" s="489"/>
      <c r="AN6" s="489"/>
      <c r="AO6" s="489"/>
      <c r="AP6" s="489"/>
      <c r="AQ6" s="489"/>
      <c r="AR6" s="489"/>
      <c r="AS6" s="489"/>
      <c r="AT6" s="480">
        <v>11</v>
      </c>
    </row>
    <row customHeight="1" ht="14.699999999999998">
      <c r="C7" s="450"/>
      <c r="D7" s="2218" t="s">
        <v>302</v>
      </c>
      <c r="E7" s="2219"/>
      <c r="F7" s="2219"/>
      <c r="G7" s="2219"/>
      <c r="H7" s="2219"/>
      <c r="I7" s="2219"/>
      <c r="J7" s="2219"/>
      <c r="K7" s="2219"/>
      <c r="L7" s="2219"/>
      <c r="M7" s="2219"/>
      <c r="N7" s="2219"/>
      <c r="O7" s="2219"/>
      <c r="P7" s="2219"/>
      <c r="Q7" s="2219"/>
      <c r="R7" s="2219"/>
      <c r="S7" s="2219"/>
      <c r="T7" s="2219"/>
      <c r="U7" s="2219"/>
      <c r="V7" s="2219"/>
      <c r="W7" s="2219"/>
      <c r="X7" s="2219"/>
      <c r="Y7" s="2219"/>
      <c r="Z7" s="2219"/>
      <c r="AA7" s="2219"/>
      <c r="AB7" s="2219"/>
      <c r="AC7" s="2219"/>
      <c r="AD7" s="2220"/>
      <c r="AE7" s="2223" t="s">
        <v>303</v>
      </c>
      <c r="AF7" s="2223" t="s">
        <v>303</v>
      </c>
      <c r="AG7" s="2223" t="s">
        <v>303</v>
      </c>
      <c r="AH7" s="2223" t="s">
        <v>303</v>
      </c>
      <c r="AT7" s="447">
        <v>14</v>
      </c>
    </row>
    <row customHeight="1" ht="27.299999999999997">
      <c r="C8" s="450"/>
      <c r="D8" s="2127" t="s">
        <v>88</v>
      </c>
      <c r="E8" s="2223" t="str">
        <f>"Наименование "&amp;IF(TEMPLATE_SPHERE&lt;&gt;"HEAT","централизованной ","")&amp;"системы "&amp;TEMPLATE_SPHERE_RUS</f>
        <v>Наименование системы теплоснабжения</v>
      </c>
      <c r="F8" s="2223" t="str">
        <f>IF(TEMPLATE_SPHERE&lt;&gt;"HEAT","Регулируемый вид деятельности","Вид регулируемой деятельности")</f>
        <v>Вид регулируемой деятельности</v>
      </c>
      <c r="G8" s="828"/>
      <c r="H8" s="2224" t="s">
        <v>359</v>
      </c>
      <c r="I8" s="2226" t="s">
        <v>360</v>
      </c>
      <c r="J8" s="2223" t="s">
        <v>361</v>
      </c>
      <c r="K8" s="2223"/>
      <c r="L8" s="2223"/>
      <c r="M8" s="2218"/>
      <c r="N8" s="2223" t="s">
        <v>362</v>
      </c>
      <c r="O8" s="2223"/>
      <c r="P8" s="2223" t="s">
        <v>363</v>
      </c>
      <c r="Q8" s="2223"/>
      <c r="R8" s="2230" t="s">
        <v>364</v>
      </c>
      <c r="S8" s="824"/>
      <c r="T8" s="2228" t="s">
        <v>365</v>
      </c>
      <c r="U8" s="2228" t="s">
        <v>366</v>
      </c>
      <c r="V8" s="2228" t="s">
        <v>367</v>
      </c>
      <c r="W8" s="826"/>
      <c r="X8" s="2228" t="s">
        <v>368</v>
      </c>
      <c r="Y8" s="2228" t="s">
        <v>369</v>
      </c>
      <c r="Z8" s="2228" t="s">
        <v>370</v>
      </c>
      <c r="AA8" s="826"/>
      <c r="AB8" s="2228" t="s">
        <v>371</v>
      </c>
      <c r="AC8" s="2228" t="s">
        <v>364</v>
      </c>
      <c r="AD8" s="826"/>
      <c r="AE8" s="2223"/>
      <c r="AF8" s="2223"/>
      <c r="AG8" s="2223"/>
      <c r="AH8" s="2223"/>
      <c r="AT8" s="447">
        <v>26</v>
      </c>
    </row>
    <row customHeight="1" ht="46.199999999999996">
      <c r="C9" s="450"/>
      <c r="D9" s="2127"/>
      <c r="E9" s="2223"/>
      <c r="F9" s="2223"/>
      <c r="G9" s="829"/>
      <c r="H9" s="2225"/>
      <c r="I9" s="2227"/>
      <c r="J9" s="425" t="s">
        <v>372</v>
      </c>
      <c r="K9" s="425" t="s">
        <v>373</v>
      </c>
      <c r="L9" s="425" t="s">
        <v>374</v>
      </c>
      <c r="M9" s="431" t="s">
        <v>375</v>
      </c>
      <c r="N9" s="425" t="s">
        <v>376</v>
      </c>
      <c r="O9" s="425" t="s">
        <v>375</v>
      </c>
      <c r="P9" s="425" t="s">
        <v>377</v>
      </c>
      <c r="Q9" s="425" t="s">
        <v>375</v>
      </c>
      <c r="R9" s="2231"/>
      <c r="S9" s="825"/>
      <c r="T9" s="2229"/>
      <c r="U9" s="2229"/>
      <c r="V9" s="2229"/>
      <c r="W9" s="827"/>
      <c r="X9" s="2229"/>
      <c r="Y9" s="2229"/>
      <c r="Z9" s="2229"/>
      <c r="AA9" s="827"/>
      <c r="AB9" s="2229"/>
      <c r="AC9" s="2229"/>
      <c r="AD9" s="827"/>
      <c r="AE9" s="2223"/>
      <c r="AF9" s="2223"/>
      <c r="AG9" s="2223"/>
      <c r="AH9" s="2223"/>
      <c r="AT9" s="447">
        <v>44</v>
      </c>
    </row>
    <row customHeight="1" ht="12" hidden="1">
      <c r="C10" s="487"/>
      <c r="D10" s="448"/>
      <c r="E10" s="448"/>
      <c r="F10" s="448"/>
      <c r="G10" s="448"/>
      <c r="H10" s="448"/>
      <c r="I10" s="448"/>
      <c r="J10" s="448"/>
      <c r="K10" s="448"/>
      <c r="L10" s="448"/>
      <c r="M10" s="448"/>
      <c r="N10" s="448"/>
      <c r="O10" s="448"/>
      <c r="P10" s="448"/>
      <c r="Q10" s="448"/>
      <c r="R10" s="448"/>
      <c r="S10" s="448"/>
      <c r="T10" s="448"/>
      <c r="U10" s="448"/>
      <c r="V10" s="448"/>
      <c r="W10" s="448"/>
      <c r="X10" s="448"/>
      <c r="Y10" s="448"/>
      <c r="Z10" s="448"/>
      <c r="AA10" s="448"/>
      <c r="AB10" s="448"/>
      <c r="AC10" s="448"/>
      <c r="AD10" s="448"/>
      <c r="AE10" s="448"/>
      <c r="AF10" s="448"/>
      <c r="AG10" s="448"/>
      <c r="AH10" s="448"/>
      <c r="AI10" s="447"/>
      <c r="AP10" s="500"/>
      <c r="AQ10" s="500"/>
      <c r="AT10" s="447">
        <v>0</v>
      </c>
    </row>
    <row s="1641" customFormat="1" customHeight="1" ht="11.25" hidden="1">
      <c r="C11" s="498"/>
      <c r="D11" s="499" t="s">
        <v>378</v>
      </c>
      <c r="E11" s="499"/>
      <c r="F11" s="499"/>
      <c r="G11" s="499"/>
      <c r="H11" s="497"/>
      <c r="I11" s="497"/>
      <c r="J11" s="497"/>
      <c r="K11" s="497"/>
      <c r="L11" s="497"/>
      <c r="M11" s="497"/>
      <c r="N11" s="497"/>
      <c r="O11" s="497"/>
      <c r="P11" s="497"/>
      <c r="Q11" s="497"/>
      <c r="R11" s="497"/>
      <c r="S11" s="497"/>
      <c r="T11" s="497"/>
      <c r="U11" s="497"/>
      <c r="V11" s="497"/>
      <c r="W11" s="497"/>
      <c r="X11" s="497"/>
      <c r="Y11" s="497"/>
      <c r="Z11" s="497"/>
      <c r="AA11" s="497"/>
      <c r="AB11" s="497"/>
      <c r="AC11" s="497"/>
      <c r="AD11" s="497"/>
      <c r="AE11" s="435"/>
      <c r="AF11" s="435"/>
      <c r="AG11" s="435"/>
      <c r="AH11" s="435"/>
      <c r="AJ11" s="489"/>
      <c r="AK11" s="489"/>
      <c r="AL11" s="489"/>
      <c r="AM11" s="489"/>
      <c r="AN11" s="489"/>
      <c r="AO11" s="489"/>
      <c r="AP11" s="489"/>
      <c r="AQ11" s="489"/>
      <c r="AR11" s="489"/>
      <c r="AS11" s="489"/>
      <c r="AT11" s="496">
        <v>0</v>
      </c>
    </row>
    <row customHeight="1" ht="14.699999999999998">
      <c r="A12" s="447"/>
      <c r="C12" s="450"/>
      <c r="D12" s="434" t="s">
        <v>109</v>
      </c>
      <c r="E12" s="1777" t="s">
        <v>22</v>
      </c>
      <c r="F12" s="855"/>
      <c r="G12" s="856"/>
      <c r="H12" s="1778"/>
      <c r="I12" s="1778"/>
      <c r="J12" s="433"/>
      <c r="K12" s="1863"/>
      <c r="L12" s="432"/>
      <c r="M12" s="1863"/>
      <c r="N12" s="433"/>
      <c r="O12" s="1863"/>
      <c r="P12" s="433"/>
      <c r="Q12" s="1863"/>
      <c r="R12" s="433"/>
      <c r="S12" s="854"/>
      <c r="T12" s="1778"/>
      <c r="U12" s="433"/>
      <c r="V12" s="433"/>
      <c r="W12" s="827"/>
      <c r="X12" s="1778"/>
      <c r="Y12" s="433"/>
      <c r="Z12" s="433"/>
      <c r="AA12" s="827"/>
      <c r="AB12" s="1778"/>
      <c r="AC12" s="433"/>
      <c r="AD12" s="827"/>
      <c r="AE12" s="2221" t="s">
        <v>379</v>
      </c>
      <c r="AF12" s="2221" t="s">
        <v>380</v>
      </c>
      <c r="AG12" s="2221" t="s">
        <v>381</v>
      </c>
      <c r="AH12" s="2221" t="s">
        <v>382</v>
      </c>
      <c r="AI12" s="447"/>
      <c r="AM12" s="511"/>
      <c r="AP12" s="500" t="s">
        <v>383</v>
      </c>
      <c r="AQ12" s="500" t="s">
        <v>383</v>
      </c>
      <c r="AT12" s="447">
        <v>14</v>
      </c>
    </row>
    <row customHeight="1" ht="18">
      <c r="A13" s="447"/>
      <c r="C13" s="450"/>
      <c r="D13" s="405"/>
      <c r="E13" s="869" t="str">
        <f>IF(TITLE_DIFFERENTIATION_TYPE="нет","","Добавить систему")</f>
        <v/>
      </c>
      <c r="F13" s="869" t="str">
        <f>IF(TITLE_DIFFERENTIATION_TYPE="нет","Добавить вид деятельности","")</f>
        <v>Добавить вид деятельности</v>
      </c>
      <c r="G13" s="313"/>
      <c r="H13" s="406"/>
      <c r="I13" s="406"/>
      <c r="J13" s="406"/>
      <c r="K13" s="406"/>
      <c r="L13" s="406"/>
      <c r="M13" s="406"/>
      <c r="N13" s="406"/>
      <c r="O13" s="406"/>
      <c r="P13" s="406"/>
      <c r="Q13" s="406"/>
      <c r="R13" s="406"/>
      <c r="S13" s="406"/>
      <c r="T13" s="406"/>
      <c r="U13" s="406"/>
      <c r="V13" s="406"/>
      <c r="W13" s="406"/>
      <c r="X13" s="406"/>
      <c r="Y13" s="406"/>
      <c r="Z13" s="406"/>
      <c r="AA13" s="406"/>
      <c r="AB13" s="406"/>
      <c r="AC13" s="406"/>
      <c r="AD13" s="857"/>
      <c r="AE13" s="2222"/>
      <c r="AF13" s="2222"/>
      <c r="AG13" s="2222"/>
      <c r="AH13" s="2222"/>
      <c r="AI13" s="447"/>
      <c r="AT13" s="447">
        <v>17</v>
      </c>
    </row>
    <row customHeight="1" ht="14.699999999999998">
      <c r="AI14" s="447"/>
      <c r="AT14" s="447">
        <v>14</v>
      </c>
    </row>
    <row customHeight="1" ht="14.699999999999998">
      <c r="E15" s="758"/>
      <c r="L15" s="758"/>
      <c r="AT15" s="447">
        <v>14</v>
      </c>
    </row>
    <row customHeight="1" ht="14.699999999999998">
      <c r="L16" s="758"/>
      <c r="AT16" s="447">
        <v>14</v>
      </c>
    </row>
    <row customHeight="1" ht="14.699999999999998">
      <c r="L17" s="758"/>
      <c r="AT17" s="447">
        <v>14</v>
      </c>
    </row>
    <row customHeight="1" ht="22.5" hidden="1">
      <c r="A18" s="449" t="s">
        <v>82</v>
      </c>
      <c r="B18" s="447">
        <v>0</v>
      </c>
      <c r="C18" s="451">
        <v>3</v>
      </c>
      <c r="D18" s="447">
        <v>5</v>
      </c>
      <c r="E18" s="447">
        <v>48</v>
      </c>
      <c r="F18" s="447">
        <v>38</v>
      </c>
      <c r="G18" s="758">
        <v>0</v>
      </c>
      <c r="H18" s="447">
        <v>0</v>
      </c>
      <c r="I18" s="447">
        <v>0</v>
      </c>
      <c r="J18" s="447">
        <v>0</v>
      </c>
      <c r="K18" s="447">
        <v>0</v>
      </c>
      <c r="L18" s="447">
        <v>0</v>
      </c>
      <c r="M18" s="447">
        <v>0</v>
      </c>
      <c r="N18" s="447">
        <v>0</v>
      </c>
      <c r="O18" s="447">
        <v>0</v>
      </c>
      <c r="P18" s="447">
        <v>0</v>
      </c>
      <c r="Q18" s="447">
        <v>0</v>
      </c>
      <c r="R18" s="447">
        <v>0</v>
      </c>
      <c r="S18" s="758">
        <v>0</v>
      </c>
      <c r="T18" s="505">
        <v>0</v>
      </c>
      <c r="U18" s="505">
        <v>0</v>
      </c>
      <c r="V18" s="505">
        <v>0</v>
      </c>
      <c r="W18" s="758">
        <v>0</v>
      </c>
      <c r="X18" s="505">
        <v>0</v>
      </c>
      <c r="Y18" s="505">
        <v>0</v>
      </c>
      <c r="Z18" s="505">
        <v>0</v>
      </c>
      <c r="AA18" s="758">
        <v>0</v>
      </c>
      <c r="AB18" s="505">
        <v>0</v>
      </c>
      <c r="AC18" s="505">
        <v>0</v>
      </c>
      <c r="AD18" s="758">
        <v>0</v>
      </c>
      <c r="AE18" s="447">
        <v>0</v>
      </c>
      <c r="AF18" s="505">
        <v>0</v>
      </c>
      <c r="AG18" s="505">
        <v>0</v>
      </c>
      <c r="AH18" s="505">
        <v>0</v>
      </c>
      <c r="AI18" s="452">
        <v>3</v>
      </c>
      <c r="AJ18" s="489">
        <v>10</v>
      </c>
      <c r="AK18" s="489">
        <v>10</v>
      </c>
      <c r="AL18" s="489">
        <v>10</v>
      </c>
      <c r="AM18" s="489">
        <v>0</v>
      </c>
      <c r="AN18" s="489">
        <v>15</v>
      </c>
      <c r="AO18" s="489">
        <v>16</v>
      </c>
      <c r="AP18" s="489">
        <v>10</v>
      </c>
      <c r="AQ18" s="489">
        <v>10</v>
      </c>
      <c r="AR18" s="489">
        <v>10</v>
      </c>
      <c r="AS18" s="489">
        <v>10</v>
      </c>
      <c r="AT18" s="447">
        <v>23</v>
      </c>
    </row>
  </sheetData>
  <sheetProtection formatColumns="0" formatRows="0" autoFilter="0" sort="0" insertRows="0" insertColumns="1" deleteRows="0" deleteColumns="0"/>
  <mergeCells count="32">
    <mergeCell ref="J8:M8"/>
    <mergeCell ref="N8:O8"/>
    <mergeCell ref="AB8:AB9"/>
    <mergeCell ref="AC8:AC9"/>
    <mergeCell ref="T8:T9"/>
    <mergeCell ref="U8:U9"/>
    <mergeCell ref="V8:V9"/>
    <mergeCell ref="P8:Q8"/>
    <mergeCell ref="R8:R9"/>
    <mergeCell ref="X8:X9"/>
    <mergeCell ref="Y8:Y9"/>
    <mergeCell ref="Z8:Z9"/>
    <mergeCell ref="D8:D9"/>
    <mergeCell ref="E8:E9"/>
    <mergeCell ref="F8:F9"/>
    <mergeCell ref="H8:H9"/>
    <mergeCell ref="I8:I9"/>
    <mergeCell ref="AE12:AE13"/>
    <mergeCell ref="AG7:AG9"/>
    <mergeCell ref="AG12:AG13"/>
    <mergeCell ref="AH7:AH9"/>
    <mergeCell ref="AH12:AH13"/>
    <mergeCell ref="AF12:AF13"/>
    <mergeCell ref="AF7:AF9"/>
    <mergeCell ref="AE7:AE9"/>
    <mergeCell ref="D5:R5"/>
    <mergeCell ref="H1:R1"/>
    <mergeCell ref="D7:AD7"/>
    <mergeCell ref="X1:Z1"/>
    <mergeCell ref="T1:V1"/>
    <mergeCell ref="AB1:AC1"/>
    <mergeCell ref="D4:R4"/>
  </mergeCells>
  <dataValidations count="6">
    <dataValidation allowBlank="1" showErrorMessage="1" errorTitle="Ошибка" error="Допускается ввод только неотрицательных чисел!" sqref="E11:G11"/>
    <dataValidation type="decimal" allowBlank="1" showErrorMessage="1" errorTitle="Ошибка" error="Допускается ввод только неотрицательных чисел!" sqref="H11:AD11 T12 H12:I12 AB12 X12 K12 M12 O12 Q12">
      <formula1>0</formula1>
      <formula2>9.99999999999999E+23</formula2>
    </dataValidation>
    <dataValidation type="textLength" operator="lessThanOrEqual" allowBlank="1" showInputMessage="1" showErrorMessage="1" errorTitle="Ошибка" error="Допускается ввод не более 900 символов!" sqref="E12">
      <formula1>900</formula1>
    </dataValidation>
    <dataValidation allowBlank="1" showInputMessage="1" showErrorMessage="1" prompt="Выберите один или несколько одновременно видов деятельности, выполнив последовательно по одному щелчку на строке с видом деятельности" sqref="F12"/>
    <dataValidation type="whole" allowBlank="1" showErrorMessage="1" errorTitle="Ошибка" error="Допускается ввод только неотрицательных целых чисел!" sqref="N12 P12 U12:V12 Y12:Z12 J12 R12:S12 AC12">
      <formula1>0</formula1>
      <formula2>9.99999999999999E+23</formula2>
    </dataValidation>
    <dataValidation type="list" allowBlank="1" showInputMessage="1" showErrorMessage="1" errorTitle="Ошибка" error="Выберите значение из списка" prompt="Выберите значение из списка" sqref="L12">
      <formula1>kind_of_power_te_unit</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8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12957DE-AF95-B8D8-AE9A-8BB11302D0B7}" mc:Ignorable="x14ac xr xr2 xr3">
  <sheetPr>
    <tabColor rgb="FFFFCC99"/>
  </sheetPr>
  <dimension ref="A1:B2"/>
  <sheetViews>
    <sheetView topLeftCell="A1" showGridLines="0" workbookViewId="0">
      <selection activeCell="A1" sqref="A1"/>
    </sheetView>
  </sheetViews>
  <sheetFormatPr defaultColWidth="9.140625" customHeight="1" defaultRowHeight="11.25"/>
  <cols>
    <col min="1" max="2" style="183" width="9.140625"/>
  </cols>
  <sheetData>
    <row customHeight="1" ht="11.25">
      <c r="A1" s="183" t="s">
        <v>134</v>
      </c>
      <c r="B1" s="183" t="s">
        <v>3586</v>
      </c>
    </row>
    <row customHeight="1" ht="11.25">
      <c r="A2" s="64" t="s">
        <v>98</v>
      </c>
      <c r="B2" s="64" t="s">
        <v>3587</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0F3E2E3-5E25-DA63-0F49-8645E1FFED04}" mc:Ignorable="x14ac xr xr2 xr3">
  <sheetPr>
    <tabColor rgb="FFFFCC99"/>
  </sheetPr>
  <dimension ref="A1:B11"/>
  <sheetViews>
    <sheetView topLeftCell="A1" showGridLines="0" workbookViewId="0">
      <selection activeCell="A1" sqref="A1"/>
    </sheetView>
  </sheetViews>
  <sheetFormatPr defaultColWidth="9.140625" customHeight="1" defaultRowHeight="11.25"/>
  <cols>
    <col min="1" max="1" style="1691" width="9.140625"/>
    <col min="2" max="2" style="1691" width="65.28125" customWidth="1"/>
  </cols>
  <sheetData>
    <row customHeight="1" ht="11.25">
      <c r="A1" s="835" t="s">
        <v>3588</v>
      </c>
      <c r="B1" s="835" t="s">
        <v>3589</v>
      </c>
    </row>
    <row customHeight="1" ht="11.25">
      <c r="A2" s="835">
        <v>4213775</v>
      </c>
      <c r="B2" s="835" t="s">
        <v>1222</v>
      </c>
    </row>
    <row customHeight="1" ht="11.25">
      <c r="A3" s="835">
        <v>4213784</v>
      </c>
      <c r="B3" s="835" t="s">
        <v>1255</v>
      </c>
    </row>
    <row customHeight="1" ht="11.25">
      <c r="A4" s="835">
        <v>4213781</v>
      </c>
      <c r="B4" s="835" t="s">
        <v>1248</v>
      </c>
    </row>
    <row customHeight="1" ht="11.25">
      <c r="A5" s="835">
        <v>4213776</v>
      </c>
      <c r="B5" s="835" t="s">
        <v>170</v>
      </c>
    </row>
    <row customHeight="1" ht="11.25">
      <c r="A6" s="835">
        <v>4213777</v>
      </c>
      <c r="B6" s="835" t="s">
        <v>176</v>
      </c>
    </row>
    <row customHeight="1" ht="11.25">
      <c r="A7" s="835">
        <v>4213778</v>
      </c>
      <c r="B7" s="835" t="s">
        <v>182</v>
      </c>
    </row>
    <row customHeight="1" ht="11.25">
      <c r="A8" s="835">
        <v>4213780</v>
      </c>
      <c r="B8" s="835" t="s">
        <v>188</v>
      </c>
    </row>
    <row customHeight="1" ht="11.25">
      <c r="A9" s="835">
        <v>4213779</v>
      </c>
      <c r="B9" s="835" t="s">
        <v>1389</v>
      </c>
    </row>
    <row customHeight="1" ht="11.25">
      <c r="A10" s="835">
        <v>4213783</v>
      </c>
      <c r="B10" s="835" t="s">
        <v>1403</v>
      </c>
    </row>
    <row customHeight="1" ht="11.25">
      <c r="A11" s="835">
        <v>4213782</v>
      </c>
      <c r="B11" s="835" t="s">
        <v>194</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34AD263-91E4-DC9D-4B1D-07ABA855DDF8}" mc:Ignorable="x14ac xr xr2 xr3">
  <sheetPr>
    <tabColor rgb="FFFFCC99"/>
  </sheetPr>
  <dimension ref="A1:B11"/>
  <sheetViews>
    <sheetView topLeftCell="A1" showGridLines="0" workbookViewId="0">
      <selection activeCell="A1" sqref="A1"/>
    </sheetView>
  </sheetViews>
  <sheetFormatPr defaultColWidth="9.140625" customHeight="1" defaultRowHeight="11.25"/>
  <cols>
    <col min="1" max="1" style="1691" width="9.140625"/>
    <col min="2" max="2" style="1691" width="65.28125" customWidth="1"/>
  </cols>
  <sheetData>
    <row customHeight="1" ht="11.25">
      <c r="A1" s="835" t="s">
        <v>3588</v>
      </c>
      <c r="B1" s="835" t="s">
        <v>3590</v>
      </c>
    </row>
    <row customHeight="1" ht="11.25">
      <c r="A2" s="835" t="s">
        <v>118</v>
      </c>
      <c r="B2" s="835" t="s">
        <v>1501</v>
      </c>
    </row>
    <row customHeight="1" ht="11.25">
      <c r="A3" s="835" t="s">
        <v>3591</v>
      </c>
      <c r="B3" s="835" t="s">
        <v>1511</v>
      </c>
    </row>
    <row customHeight="1" ht="11.25">
      <c r="A4" s="835" t="s">
        <v>3592</v>
      </c>
      <c r="B4" s="835" t="s">
        <v>1520</v>
      </c>
    </row>
    <row customHeight="1" ht="11.25">
      <c r="A5" s="835" t="s">
        <v>124</v>
      </c>
      <c r="B5" s="835" t="s">
        <v>1529</v>
      </c>
    </row>
    <row customHeight="1" ht="11.25">
      <c r="A6" s="835" t="s">
        <v>3593</v>
      </c>
      <c r="B6" s="835" t="s">
        <v>1535</v>
      </c>
    </row>
    <row customHeight="1" ht="11.25">
      <c r="A7" s="835" t="s">
        <v>3594</v>
      </c>
      <c r="B7" s="835" t="s">
        <v>1543</v>
      </c>
    </row>
    <row customHeight="1" ht="11.25">
      <c r="A8" s="835" t="s">
        <v>3595</v>
      </c>
      <c r="B8" s="835" t="s">
        <v>1550</v>
      </c>
    </row>
    <row customHeight="1" ht="11.25">
      <c r="A9" s="835" t="s">
        <v>3596</v>
      </c>
      <c r="B9" s="835" t="s">
        <v>1556</v>
      </c>
    </row>
    <row customHeight="1" ht="11.25">
      <c r="A10" s="835" t="s">
        <v>3597</v>
      </c>
      <c r="B10" s="835" t="s">
        <v>1559</v>
      </c>
    </row>
    <row customHeight="1" ht="11.25">
      <c r="A11" s="835" t="s">
        <v>3598</v>
      </c>
      <c r="B11" s="835" t="s">
        <v>1566</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F3E7E77-954F-B089-69E3-83310C14A24C}" mc:Ignorable="x14ac xr xr2 xr3">
  <sheetPr>
    <tabColor rgb="FFFFCC99"/>
  </sheetPr>
  <dimension ref="A1:G79"/>
  <sheetViews>
    <sheetView topLeftCell="A1" showGridLines="0" workbookViewId="0">
      <selection activeCell="A1" sqref="A1"/>
    </sheetView>
  </sheetViews>
  <sheetFormatPr customHeight="1" defaultRowHeight="11.25"/>
  <sheetData>
    <row customHeight="1" ht="11.25">
      <c r="A1" s="373" t="s">
        <v>3362</v>
      </c>
      <c r="B1" s="373" t="s">
        <v>3363</v>
      </c>
      <c r="C1" s="373" t="s">
        <v>3364</v>
      </c>
      <c r="D1" s="373" t="s">
        <v>3365</v>
      </c>
      <c r="E1" s="0" t="s">
        <v>3366</v>
      </c>
      <c r="F1" s="0" t="s">
        <v>3367</v>
      </c>
      <c r="G1" s="0" t="s">
        <v>3368</v>
      </c>
    </row>
    <row customHeight="1" ht="11.25">
      <c r="A2" s="0" t="s">
        <v>16</v>
      </c>
      <c r="B2" s="0" t="s">
        <v>3369</v>
      </c>
      <c r="C2" s="0" t="s">
        <v>3370</v>
      </c>
      <c r="D2" s="0" t="s">
        <v>3369</v>
      </c>
      <c r="E2" s="0" t="s">
        <v>3370</v>
      </c>
      <c r="F2" s="0" t="s">
        <v>3371</v>
      </c>
      <c r="G2" s="0" t="s">
        <v>109</v>
      </c>
    </row>
    <row customHeight="1" ht="11.25">
      <c r="A3" s="0" t="s">
        <v>16</v>
      </c>
      <c r="B3" s="0" t="s">
        <v>3372</v>
      </c>
      <c r="C3" s="0" t="s">
        <v>3373</v>
      </c>
      <c r="D3" s="0" t="s">
        <v>3372</v>
      </c>
      <c r="E3" s="0" t="s">
        <v>3373</v>
      </c>
      <c r="F3" s="0" t="s">
        <v>3371</v>
      </c>
      <c r="G3" s="0" t="s">
        <v>110</v>
      </c>
    </row>
    <row customHeight="1" ht="11.25">
      <c r="A4" s="0" t="s">
        <v>16</v>
      </c>
      <c r="B4" s="0" t="s">
        <v>3374</v>
      </c>
      <c r="C4" s="0" t="s">
        <v>3375</v>
      </c>
      <c r="D4" s="0" t="s">
        <v>3374</v>
      </c>
      <c r="E4" s="0" t="s">
        <v>3375</v>
      </c>
      <c r="F4" s="0" t="s">
        <v>3371</v>
      </c>
      <c r="G4" s="0" t="s">
        <v>90</v>
      </c>
    </row>
    <row customHeight="1" ht="11.25">
      <c r="A5" s="0" t="s">
        <v>16</v>
      </c>
      <c r="B5" s="0" t="s">
        <v>3376</v>
      </c>
      <c r="C5" s="0" t="s">
        <v>3377</v>
      </c>
      <c r="D5" s="0" t="s">
        <v>3376</v>
      </c>
      <c r="E5" s="0" t="s">
        <v>3377</v>
      </c>
      <c r="F5" s="0" t="s">
        <v>3371</v>
      </c>
      <c r="G5" s="0" t="s">
        <v>91</v>
      </c>
    </row>
    <row customHeight="1" ht="11.25">
      <c r="A6" s="0" t="s">
        <v>16</v>
      </c>
      <c r="B6" s="0" t="s">
        <v>3378</v>
      </c>
      <c r="C6" s="0" t="s">
        <v>3379</v>
      </c>
      <c r="D6" s="0" t="s">
        <v>3380</v>
      </c>
      <c r="E6" s="0" t="s">
        <v>3381</v>
      </c>
      <c r="F6" s="0" t="s">
        <v>3382</v>
      </c>
      <c r="G6" s="0" t="s">
        <v>111</v>
      </c>
    </row>
    <row customHeight="1" ht="11.25">
      <c r="A7" s="0" t="s">
        <v>16</v>
      </c>
      <c r="B7" s="0" t="s">
        <v>3378</v>
      </c>
      <c r="C7" s="0" t="s">
        <v>3379</v>
      </c>
      <c r="D7" s="0" t="s">
        <v>3378</v>
      </c>
      <c r="E7" s="0" t="s">
        <v>3379</v>
      </c>
      <c r="F7" s="0" t="s">
        <v>3383</v>
      </c>
      <c r="G7" s="0" t="s">
        <v>92</v>
      </c>
    </row>
    <row customHeight="1" ht="11.25">
      <c r="A8" s="0" t="s">
        <v>16</v>
      </c>
      <c r="B8" s="0" t="s">
        <v>3378</v>
      </c>
      <c r="C8" s="0" t="s">
        <v>3379</v>
      </c>
      <c r="D8" s="0" t="s">
        <v>3384</v>
      </c>
      <c r="E8" s="0" t="s">
        <v>3385</v>
      </c>
      <c r="F8" s="0" t="s">
        <v>3382</v>
      </c>
      <c r="G8" s="0" t="s">
        <v>93</v>
      </c>
    </row>
    <row customHeight="1" ht="11.25">
      <c r="A9" s="0" t="s">
        <v>16</v>
      </c>
      <c r="B9" s="0" t="s">
        <v>3378</v>
      </c>
      <c r="C9" s="0" t="s">
        <v>3379</v>
      </c>
      <c r="D9" s="0" t="s">
        <v>3386</v>
      </c>
      <c r="E9" s="0" t="s">
        <v>3387</v>
      </c>
      <c r="F9" s="0" t="s">
        <v>3382</v>
      </c>
      <c r="G9" s="0" t="s">
        <v>112</v>
      </c>
    </row>
    <row customHeight="1" ht="11.25">
      <c r="A10" s="0" t="s">
        <v>16</v>
      </c>
      <c r="B10" s="0" t="s">
        <v>3388</v>
      </c>
      <c r="C10" s="0" t="s">
        <v>3389</v>
      </c>
      <c r="D10" s="0" t="s">
        <v>3388</v>
      </c>
      <c r="E10" s="0" t="s">
        <v>3389</v>
      </c>
      <c r="F10" s="0" t="s">
        <v>3371</v>
      </c>
      <c r="G10" s="0" t="s">
        <v>152</v>
      </c>
    </row>
    <row customHeight="1" ht="11.25">
      <c r="A11" s="0" t="s">
        <v>16</v>
      </c>
      <c r="B11" s="0" t="s">
        <v>3390</v>
      </c>
      <c r="C11" s="0" t="s">
        <v>3391</v>
      </c>
      <c r="D11" s="0" t="s">
        <v>3390</v>
      </c>
      <c r="E11" s="0" t="s">
        <v>3391</v>
      </c>
      <c r="F11" s="0" t="s">
        <v>3371</v>
      </c>
      <c r="G11" s="0" t="s">
        <v>153</v>
      </c>
    </row>
    <row customHeight="1" ht="11.25">
      <c r="A12" s="0" t="s">
        <v>16</v>
      </c>
      <c r="B12" s="0" t="s">
        <v>3392</v>
      </c>
      <c r="C12" s="0" t="s">
        <v>3393</v>
      </c>
      <c r="D12" s="0" t="s">
        <v>3392</v>
      </c>
      <c r="E12" s="0" t="s">
        <v>3393</v>
      </c>
      <c r="F12" s="0" t="s">
        <v>3371</v>
      </c>
      <c r="G12" s="0" t="s">
        <v>154</v>
      </c>
    </row>
    <row customHeight="1" ht="11.25">
      <c r="A13" s="0" t="s">
        <v>16</v>
      </c>
      <c r="B13" s="0" t="s">
        <v>3394</v>
      </c>
      <c r="C13" s="0" t="s">
        <v>3395</v>
      </c>
      <c r="D13" s="0" t="s">
        <v>3394</v>
      </c>
      <c r="E13" s="0" t="s">
        <v>3395</v>
      </c>
      <c r="F13" s="0" t="s">
        <v>3371</v>
      </c>
      <c r="G13" s="0" t="s">
        <v>155</v>
      </c>
    </row>
    <row customHeight="1" ht="11.25">
      <c r="A14" s="0" t="s">
        <v>16</v>
      </c>
      <c r="B14" s="0" t="s">
        <v>3396</v>
      </c>
      <c r="C14" s="0" t="s">
        <v>3397</v>
      </c>
      <c r="D14" s="0" t="s">
        <v>3398</v>
      </c>
      <c r="E14" s="0" t="s">
        <v>3399</v>
      </c>
      <c r="F14" s="0" t="s">
        <v>3382</v>
      </c>
      <c r="G14" s="0" t="s">
        <v>156</v>
      </c>
    </row>
    <row customHeight="1" ht="11.25">
      <c r="A15" s="0" t="s">
        <v>16</v>
      </c>
      <c r="B15" s="0" t="s">
        <v>3396</v>
      </c>
      <c r="C15" s="0" t="s">
        <v>3397</v>
      </c>
      <c r="D15" s="0" t="s">
        <v>3400</v>
      </c>
      <c r="E15" s="0" t="s">
        <v>3401</v>
      </c>
      <c r="F15" s="0" t="s">
        <v>3382</v>
      </c>
      <c r="G15" s="0" t="s">
        <v>157</v>
      </c>
    </row>
    <row customHeight="1" ht="11.25">
      <c r="A16" s="0" t="s">
        <v>16</v>
      </c>
      <c r="B16" s="0" t="s">
        <v>3396</v>
      </c>
      <c r="C16" s="0" t="s">
        <v>3397</v>
      </c>
      <c r="D16" s="0" t="s">
        <v>3402</v>
      </c>
      <c r="E16" s="0" t="s">
        <v>3403</v>
      </c>
      <c r="F16" s="0" t="s">
        <v>3382</v>
      </c>
      <c r="G16" s="0" t="s">
        <v>1463</v>
      </c>
    </row>
    <row customHeight="1" ht="11.25">
      <c r="A17" s="0" t="s">
        <v>16</v>
      </c>
      <c r="B17" s="0" t="s">
        <v>3396</v>
      </c>
      <c r="C17" s="0" t="s">
        <v>3397</v>
      </c>
      <c r="D17" s="0" t="s">
        <v>3404</v>
      </c>
      <c r="E17" s="0" t="s">
        <v>3405</v>
      </c>
      <c r="F17" s="0" t="s">
        <v>3382</v>
      </c>
      <c r="G17" s="0" t="s">
        <v>1469</v>
      </c>
    </row>
    <row customHeight="1" ht="11.25">
      <c r="A18" s="0" t="s">
        <v>16</v>
      </c>
      <c r="B18" s="0" t="s">
        <v>3396</v>
      </c>
      <c r="C18" s="0" t="s">
        <v>3397</v>
      </c>
      <c r="D18" s="0" t="s">
        <v>3396</v>
      </c>
      <c r="E18" s="0" t="s">
        <v>3397</v>
      </c>
      <c r="F18" s="0" t="s">
        <v>3383</v>
      </c>
      <c r="G18" s="0" t="s">
        <v>1481</v>
      </c>
    </row>
    <row customHeight="1" ht="11.25">
      <c r="A19" s="0" t="s">
        <v>16</v>
      </c>
      <c r="B19" s="0" t="s">
        <v>3396</v>
      </c>
      <c r="C19" s="0" t="s">
        <v>3397</v>
      </c>
      <c r="D19" s="0" t="s">
        <v>3406</v>
      </c>
      <c r="E19" s="0" t="s">
        <v>3407</v>
      </c>
      <c r="F19" s="0" t="s">
        <v>3408</v>
      </c>
      <c r="G19" s="0" t="s">
        <v>1495</v>
      </c>
    </row>
    <row customHeight="1" ht="11.25">
      <c r="A20" s="0" t="s">
        <v>16</v>
      </c>
      <c r="B20" s="0" t="s">
        <v>3396</v>
      </c>
      <c r="C20" s="0" t="s">
        <v>3397</v>
      </c>
      <c r="D20" s="0" t="s">
        <v>3409</v>
      </c>
      <c r="E20" s="0" t="s">
        <v>3410</v>
      </c>
      <c r="F20" s="0" t="s">
        <v>3382</v>
      </c>
      <c r="G20" s="0" t="s">
        <v>1507</v>
      </c>
    </row>
    <row customHeight="1" ht="11.25">
      <c r="A21" s="0" t="s">
        <v>16</v>
      </c>
      <c r="B21" s="0" t="s">
        <v>3396</v>
      </c>
      <c r="C21" s="0" t="s">
        <v>3397</v>
      </c>
      <c r="D21" s="0" t="s">
        <v>3411</v>
      </c>
      <c r="E21" s="0" t="s">
        <v>3412</v>
      </c>
      <c r="F21" s="0" t="s">
        <v>3382</v>
      </c>
      <c r="G21" s="0" t="s">
        <v>1516</v>
      </c>
    </row>
    <row customHeight="1" ht="11.25">
      <c r="A22" s="0" t="s">
        <v>16</v>
      </c>
      <c r="B22" s="0" t="s">
        <v>3396</v>
      </c>
      <c r="C22" s="0" t="s">
        <v>3397</v>
      </c>
      <c r="D22" s="0" t="s">
        <v>3413</v>
      </c>
      <c r="E22" s="0" t="s">
        <v>3414</v>
      </c>
      <c r="F22" s="0" t="s">
        <v>3382</v>
      </c>
      <c r="G22" s="0" t="s">
        <v>1532</v>
      </c>
    </row>
    <row customHeight="1" ht="11.25">
      <c r="A23" s="0" t="s">
        <v>16</v>
      </c>
      <c r="B23" s="0" t="s">
        <v>3415</v>
      </c>
      <c r="C23" s="0" t="s">
        <v>3416</v>
      </c>
      <c r="D23" s="0" t="s">
        <v>3415</v>
      </c>
      <c r="E23" s="0" t="s">
        <v>3416</v>
      </c>
      <c r="F23" s="0" t="s">
        <v>3417</v>
      </c>
      <c r="G23" s="0" t="s">
        <v>1539</v>
      </c>
    </row>
    <row customHeight="1" ht="11.25">
      <c r="A24" s="0" t="s">
        <v>16</v>
      </c>
      <c r="B24" s="0" t="s">
        <v>3418</v>
      </c>
      <c r="C24" s="0" t="s">
        <v>3419</v>
      </c>
      <c r="D24" s="0" t="s">
        <v>3418</v>
      </c>
      <c r="E24" s="0" t="s">
        <v>3419</v>
      </c>
      <c r="F24" s="0" t="s">
        <v>3417</v>
      </c>
      <c r="G24" s="0" t="s">
        <v>1547</v>
      </c>
    </row>
    <row customHeight="1" ht="11.25">
      <c r="A25" s="0" t="s">
        <v>16</v>
      </c>
      <c r="B25" s="0" t="s">
        <v>3420</v>
      </c>
      <c r="C25" s="0" t="s">
        <v>3421</v>
      </c>
      <c r="D25" s="0" t="s">
        <v>3420</v>
      </c>
      <c r="E25" s="0" t="s">
        <v>3421</v>
      </c>
      <c r="F25" s="0" t="s">
        <v>3371</v>
      </c>
      <c r="G25" s="0" t="s">
        <v>1554</v>
      </c>
    </row>
    <row customHeight="1" ht="11.25">
      <c r="A26" s="0" t="s">
        <v>16</v>
      </c>
      <c r="B26" s="0" t="s">
        <v>100</v>
      </c>
      <c r="C26" s="0" t="s">
        <v>101</v>
      </c>
      <c r="D26" s="0" t="s">
        <v>100</v>
      </c>
      <c r="E26" s="0" t="s">
        <v>101</v>
      </c>
      <c r="F26" s="0" t="s">
        <v>3371</v>
      </c>
      <c r="G26" s="0" t="s">
        <v>99</v>
      </c>
    </row>
    <row customHeight="1" ht="11.25">
      <c r="A27" s="0" t="s">
        <v>16</v>
      </c>
      <c r="B27" s="0" t="s">
        <v>3422</v>
      </c>
      <c r="C27" s="0" t="s">
        <v>3423</v>
      </c>
      <c r="D27" s="0" t="s">
        <v>3422</v>
      </c>
      <c r="E27" s="0" t="s">
        <v>3423</v>
      </c>
      <c r="F27" s="0" t="s">
        <v>3371</v>
      </c>
      <c r="G27" s="0" t="s">
        <v>1562</v>
      </c>
    </row>
    <row customHeight="1" ht="11.25">
      <c r="A28" s="0" t="s">
        <v>16</v>
      </c>
      <c r="B28" s="0" t="s">
        <v>3424</v>
      </c>
      <c r="C28" s="0" t="s">
        <v>3425</v>
      </c>
      <c r="D28" s="0" t="s">
        <v>3426</v>
      </c>
      <c r="E28" s="0" t="s">
        <v>3427</v>
      </c>
      <c r="F28" s="0" t="s">
        <v>3382</v>
      </c>
      <c r="G28" s="0" t="s">
        <v>1570</v>
      </c>
    </row>
    <row customHeight="1" ht="11.25">
      <c r="A29" s="0" t="s">
        <v>16</v>
      </c>
      <c r="B29" s="0" t="s">
        <v>3424</v>
      </c>
      <c r="C29" s="0" t="s">
        <v>3425</v>
      </c>
      <c r="D29" s="0" t="s">
        <v>3428</v>
      </c>
      <c r="E29" s="0" t="s">
        <v>3429</v>
      </c>
      <c r="F29" s="0" t="s">
        <v>3408</v>
      </c>
      <c r="G29" s="0" t="s">
        <v>1572</v>
      </c>
    </row>
    <row customHeight="1" ht="11.25">
      <c r="A30" s="0" t="s">
        <v>16</v>
      </c>
      <c r="B30" s="0" t="s">
        <v>3424</v>
      </c>
      <c r="C30" s="0" t="s">
        <v>3425</v>
      </c>
      <c r="D30" s="0" t="s">
        <v>3424</v>
      </c>
      <c r="E30" s="0" t="s">
        <v>3425</v>
      </c>
      <c r="F30" s="0" t="s">
        <v>3383</v>
      </c>
      <c r="G30" s="0" t="s">
        <v>1575</v>
      </c>
    </row>
    <row customHeight="1" ht="11.25">
      <c r="A31" s="0" t="s">
        <v>16</v>
      </c>
      <c r="B31" s="0" t="s">
        <v>3424</v>
      </c>
      <c r="C31" s="0" t="s">
        <v>3425</v>
      </c>
      <c r="D31" s="0" t="s">
        <v>3430</v>
      </c>
      <c r="E31" s="0" t="s">
        <v>3431</v>
      </c>
      <c r="F31" s="0" t="s">
        <v>3382</v>
      </c>
      <c r="G31" s="0" t="s">
        <v>1581</v>
      </c>
    </row>
    <row customHeight="1" ht="11.25">
      <c r="A32" s="0" t="s">
        <v>16</v>
      </c>
      <c r="B32" s="0" t="s">
        <v>3424</v>
      </c>
      <c r="C32" s="0" t="s">
        <v>3425</v>
      </c>
      <c r="D32" s="0" t="s">
        <v>3432</v>
      </c>
      <c r="E32" s="0" t="s">
        <v>3433</v>
      </c>
      <c r="F32" s="0" t="s">
        <v>3382</v>
      </c>
      <c r="G32" s="0" t="s">
        <v>1583</v>
      </c>
    </row>
    <row customHeight="1" ht="11.25">
      <c r="A33" s="0" t="s">
        <v>16</v>
      </c>
      <c r="B33" s="0" t="s">
        <v>3424</v>
      </c>
      <c r="C33" s="0" t="s">
        <v>3425</v>
      </c>
      <c r="D33" s="0" t="s">
        <v>3434</v>
      </c>
      <c r="E33" s="0" t="s">
        <v>3435</v>
      </c>
      <c r="F33" s="0" t="s">
        <v>3382</v>
      </c>
      <c r="G33" s="0" t="s">
        <v>1585</v>
      </c>
    </row>
    <row customHeight="1" ht="11.25">
      <c r="A34" s="0" t="s">
        <v>16</v>
      </c>
      <c r="B34" s="0" t="s">
        <v>3424</v>
      </c>
      <c r="C34" s="0" t="s">
        <v>3425</v>
      </c>
      <c r="D34" s="0" t="s">
        <v>3436</v>
      </c>
      <c r="E34" s="0" t="s">
        <v>3437</v>
      </c>
      <c r="F34" s="0" t="s">
        <v>3382</v>
      </c>
      <c r="G34" s="0" t="s">
        <v>1587</v>
      </c>
    </row>
    <row customHeight="1" ht="11.25">
      <c r="A35" s="0" t="s">
        <v>16</v>
      </c>
      <c r="B35" s="0" t="s">
        <v>3424</v>
      </c>
      <c r="C35" s="0" t="s">
        <v>3425</v>
      </c>
      <c r="D35" s="0" t="s">
        <v>3438</v>
      </c>
      <c r="E35" s="0" t="s">
        <v>3439</v>
      </c>
      <c r="F35" s="0" t="s">
        <v>3382</v>
      </c>
      <c r="G35" s="0" t="s">
        <v>1592</v>
      </c>
    </row>
    <row customHeight="1" ht="11.25">
      <c r="A36" s="0" t="s">
        <v>16</v>
      </c>
      <c r="B36" s="0" t="s">
        <v>3440</v>
      </c>
      <c r="C36" s="0" t="s">
        <v>3441</v>
      </c>
      <c r="D36" s="0" t="s">
        <v>3440</v>
      </c>
      <c r="E36" s="0" t="s">
        <v>3441</v>
      </c>
      <c r="F36" s="0" t="s">
        <v>3371</v>
      </c>
      <c r="G36" s="0" t="s">
        <v>1597</v>
      </c>
    </row>
    <row customHeight="1" ht="11.25">
      <c r="A37" s="0" t="s">
        <v>16</v>
      </c>
      <c r="B37" s="0" t="s">
        <v>3442</v>
      </c>
      <c r="C37" s="0" t="s">
        <v>3443</v>
      </c>
      <c r="D37" s="0" t="s">
        <v>3442</v>
      </c>
      <c r="E37" s="0" t="s">
        <v>3443</v>
      </c>
      <c r="F37" s="0" t="s">
        <v>3371</v>
      </c>
      <c r="G37" s="0" t="s">
        <v>1601</v>
      </c>
    </row>
    <row customHeight="1" ht="11.25">
      <c r="A38" s="0" t="s">
        <v>16</v>
      </c>
      <c r="B38" s="0" t="s">
        <v>3444</v>
      </c>
      <c r="C38" s="0" t="s">
        <v>3445</v>
      </c>
      <c r="D38" s="0" t="s">
        <v>3444</v>
      </c>
      <c r="E38" s="0" t="s">
        <v>3445</v>
      </c>
      <c r="F38" s="0" t="s">
        <v>3371</v>
      </c>
      <c r="G38" s="0" t="s">
        <v>1609</v>
      </c>
    </row>
    <row customHeight="1" ht="11.25">
      <c r="A39" s="0" t="s">
        <v>16</v>
      </c>
      <c r="B39" s="0" t="s">
        <v>3446</v>
      </c>
      <c r="C39" s="0" t="s">
        <v>3447</v>
      </c>
      <c r="D39" s="0" t="s">
        <v>3448</v>
      </c>
      <c r="E39" s="0" t="s">
        <v>3449</v>
      </c>
      <c r="F39" s="0" t="s">
        <v>3382</v>
      </c>
      <c r="G39" s="0" t="s">
        <v>1615</v>
      </c>
    </row>
    <row customHeight="1" ht="11.25">
      <c r="A40" s="0" t="s">
        <v>16</v>
      </c>
      <c r="B40" s="0" t="s">
        <v>3446</v>
      </c>
      <c r="C40" s="0" t="s">
        <v>3447</v>
      </c>
      <c r="D40" s="0" t="s">
        <v>3450</v>
      </c>
      <c r="E40" s="0" t="s">
        <v>3451</v>
      </c>
      <c r="F40" s="0" t="s">
        <v>3408</v>
      </c>
      <c r="G40" s="0" t="s">
        <v>1620</v>
      </c>
    </row>
    <row customHeight="1" ht="11.25">
      <c r="A41" s="0" t="s">
        <v>16</v>
      </c>
      <c r="B41" s="0" t="s">
        <v>3446</v>
      </c>
      <c r="C41" s="0" t="s">
        <v>3447</v>
      </c>
      <c r="D41" s="0" t="s">
        <v>3452</v>
      </c>
      <c r="E41" s="0" t="s">
        <v>3453</v>
      </c>
      <c r="F41" s="0" t="s">
        <v>3382</v>
      </c>
      <c r="G41" s="0" t="s">
        <v>1624</v>
      </c>
    </row>
    <row customHeight="1" ht="11.25">
      <c r="A42" s="0" t="s">
        <v>16</v>
      </c>
      <c r="B42" s="0" t="s">
        <v>3446</v>
      </c>
      <c r="C42" s="0" t="s">
        <v>3447</v>
      </c>
      <c r="D42" s="0" t="s">
        <v>3454</v>
      </c>
      <c r="E42" s="0" t="s">
        <v>3455</v>
      </c>
      <c r="F42" s="0" t="s">
        <v>3382</v>
      </c>
      <c r="G42" s="0" t="s">
        <v>1627</v>
      </c>
    </row>
    <row customHeight="1" ht="11.25">
      <c r="A43" s="0" t="s">
        <v>16</v>
      </c>
      <c r="B43" s="0" t="s">
        <v>3446</v>
      </c>
      <c r="C43" s="0" t="s">
        <v>3447</v>
      </c>
      <c r="D43" s="0" t="s">
        <v>3411</v>
      </c>
      <c r="E43" s="0" t="s">
        <v>3456</v>
      </c>
      <c r="F43" s="0" t="s">
        <v>3382</v>
      </c>
      <c r="G43" s="0" t="s">
        <v>1634</v>
      </c>
    </row>
    <row customHeight="1" ht="11.25">
      <c r="A44" s="0" t="s">
        <v>16</v>
      </c>
      <c r="B44" s="0" t="s">
        <v>3446</v>
      </c>
      <c r="C44" s="0" t="s">
        <v>3447</v>
      </c>
      <c r="D44" s="0" t="s">
        <v>3457</v>
      </c>
      <c r="E44" s="0" t="s">
        <v>3458</v>
      </c>
      <c r="F44" s="0" t="s">
        <v>3382</v>
      </c>
      <c r="G44" s="0" t="s">
        <v>1643</v>
      </c>
    </row>
    <row customHeight="1" ht="11.25">
      <c r="A45" s="0" t="s">
        <v>16</v>
      </c>
      <c r="B45" s="0" t="s">
        <v>3446</v>
      </c>
      <c r="C45" s="0" t="s">
        <v>3447</v>
      </c>
      <c r="D45" s="0" t="s">
        <v>3446</v>
      </c>
      <c r="E45" s="0" t="s">
        <v>3447</v>
      </c>
      <c r="F45" s="0" t="s">
        <v>3383</v>
      </c>
      <c r="G45" s="0" t="s">
        <v>1648</v>
      </c>
    </row>
    <row customHeight="1" ht="11.25">
      <c r="A46" s="0" t="s">
        <v>16</v>
      </c>
      <c r="B46" s="0" t="s">
        <v>3446</v>
      </c>
      <c r="C46" s="0" t="s">
        <v>3447</v>
      </c>
      <c r="D46" s="0" t="s">
        <v>3459</v>
      </c>
      <c r="E46" s="0" t="s">
        <v>3460</v>
      </c>
      <c r="F46" s="0" t="s">
        <v>3382</v>
      </c>
      <c r="G46" s="0" t="s">
        <v>1651</v>
      </c>
    </row>
    <row customHeight="1" ht="11.25">
      <c r="A47" s="0" t="s">
        <v>16</v>
      </c>
      <c r="B47" s="0" t="s">
        <v>3461</v>
      </c>
      <c r="C47" s="0" t="s">
        <v>3462</v>
      </c>
      <c r="D47" s="0" t="s">
        <v>3461</v>
      </c>
      <c r="E47" s="0" t="s">
        <v>3462</v>
      </c>
      <c r="F47" s="0" t="s">
        <v>3371</v>
      </c>
      <c r="G47" s="0" t="s">
        <v>1657</v>
      </c>
    </row>
    <row customHeight="1" ht="11.25">
      <c r="A48" s="0" t="s">
        <v>16</v>
      </c>
      <c r="B48" s="0" t="s">
        <v>3463</v>
      </c>
      <c r="C48" s="0" t="s">
        <v>3464</v>
      </c>
      <c r="D48" s="0" t="s">
        <v>3463</v>
      </c>
      <c r="E48" s="0" t="s">
        <v>3464</v>
      </c>
      <c r="F48" s="0" t="s">
        <v>3371</v>
      </c>
      <c r="G48" s="0" t="s">
        <v>1662</v>
      </c>
    </row>
    <row customHeight="1" ht="11.25">
      <c r="A49" s="0" t="s">
        <v>16</v>
      </c>
      <c r="B49" s="0" t="s">
        <v>3465</v>
      </c>
      <c r="C49" s="0" t="s">
        <v>3466</v>
      </c>
      <c r="D49" s="0" t="s">
        <v>3465</v>
      </c>
      <c r="E49" s="0" t="s">
        <v>3466</v>
      </c>
      <c r="F49" s="0" t="s">
        <v>3371</v>
      </c>
      <c r="G49" s="0" t="s">
        <v>1665</v>
      </c>
    </row>
    <row customHeight="1" ht="11.25">
      <c r="A50" s="0" t="s">
        <v>16</v>
      </c>
      <c r="B50" s="0" t="s">
        <v>3467</v>
      </c>
      <c r="C50" s="0" t="s">
        <v>3468</v>
      </c>
      <c r="D50" s="0" t="s">
        <v>3467</v>
      </c>
      <c r="E50" s="0" t="s">
        <v>3468</v>
      </c>
      <c r="F50" s="0" t="s">
        <v>3371</v>
      </c>
      <c r="G50" s="0" t="s">
        <v>1669</v>
      </c>
    </row>
    <row customHeight="1" ht="11.25">
      <c r="A51" s="0" t="s">
        <v>16</v>
      </c>
      <c r="B51" s="0" t="s">
        <v>3469</v>
      </c>
      <c r="C51" s="0" t="s">
        <v>3470</v>
      </c>
      <c r="D51" s="0" t="s">
        <v>3469</v>
      </c>
      <c r="E51" s="0" t="s">
        <v>3470</v>
      </c>
      <c r="F51" s="0" t="s">
        <v>3371</v>
      </c>
      <c r="G51" s="0" t="s">
        <v>1674</v>
      </c>
    </row>
    <row customHeight="1" ht="11.25">
      <c r="A52" s="0" t="s">
        <v>16</v>
      </c>
      <c r="B52" s="0" t="s">
        <v>3471</v>
      </c>
      <c r="C52" s="0" t="s">
        <v>3472</v>
      </c>
      <c r="D52" s="0" t="s">
        <v>3471</v>
      </c>
      <c r="E52" s="0" t="s">
        <v>3472</v>
      </c>
      <c r="F52" s="0" t="s">
        <v>3371</v>
      </c>
      <c r="G52" s="0" t="s">
        <v>1678</v>
      </c>
    </row>
    <row customHeight="1" ht="11.25">
      <c r="A53" s="0" t="s">
        <v>16</v>
      </c>
      <c r="B53" s="0" t="s">
        <v>3473</v>
      </c>
      <c r="C53" s="0" t="s">
        <v>3474</v>
      </c>
      <c r="D53" s="0" t="s">
        <v>3473</v>
      </c>
      <c r="E53" s="0" t="s">
        <v>3474</v>
      </c>
      <c r="F53" s="0" t="s">
        <v>3371</v>
      </c>
      <c r="G53" s="0" t="s">
        <v>1680</v>
      </c>
    </row>
    <row customHeight="1" ht="11.25">
      <c r="A54" s="0" t="s">
        <v>16</v>
      </c>
      <c r="B54" s="0" t="s">
        <v>3475</v>
      </c>
      <c r="C54" s="0" t="s">
        <v>3476</v>
      </c>
      <c r="D54" s="0" t="s">
        <v>3475</v>
      </c>
      <c r="E54" s="0" t="s">
        <v>3476</v>
      </c>
      <c r="F54" s="0" t="s">
        <v>3371</v>
      </c>
      <c r="G54" s="0" t="s">
        <v>1683</v>
      </c>
    </row>
    <row customHeight="1" ht="11.25">
      <c r="A55" s="0" t="s">
        <v>16</v>
      </c>
      <c r="B55" s="0" t="s">
        <v>3477</v>
      </c>
      <c r="C55" s="0" t="s">
        <v>3478</v>
      </c>
      <c r="D55" s="0" t="s">
        <v>3477</v>
      </c>
      <c r="E55" s="0" t="s">
        <v>3478</v>
      </c>
      <c r="F55" s="0" t="s">
        <v>3371</v>
      </c>
      <c r="G55" s="0" t="s">
        <v>1687</v>
      </c>
    </row>
    <row customHeight="1" ht="11.25">
      <c r="A56" s="0" t="s">
        <v>16</v>
      </c>
      <c r="B56" s="0" t="s">
        <v>3479</v>
      </c>
      <c r="C56" s="0" t="s">
        <v>3480</v>
      </c>
      <c r="D56" s="0" t="s">
        <v>3481</v>
      </c>
      <c r="E56" s="0" t="s">
        <v>3482</v>
      </c>
      <c r="F56" s="0" t="s">
        <v>3382</v>
      </c>
      <c r="G56" s="0" t="s">
        <v>1690</v>
      </c>
    </row>
    <row customHeight="1" ht="11.25">
      <c r="A57" s="0" t="s">
        <v>16</v>
      </c>
      <c r="B57" s="0" t="s">
        <v>3479</v>
      </c>
      <c r="C57" s="0" t="s">
        <v>3480</v>
      </c>
      <c r="D57" s="0" t="s">
        <v>3483</v>
      </c>
      <c r="E57" s="0" t="s">
        <v>3484</v>
      </c>
      <c r="F57" s="0" t="s">
        <v>3382</v>
      </c>
      <c r="G57" s="0" t="s">
        <v>1693</v>
      </c>
    </row>
    <row customHeight="1" ht="11.25">
      <c r="A58" s="0" t="s">
        <v>16</v>
      </c>
      <c r="B58" s="0" t="s">
        <v>3479</v>
      </c>
      <c r="C58" s="0" t="s">
        <v>3480</v>
      </c>
      <c r="D58" s="0" t="s">
        <v>3485</v>
      </c>
      <c r="E58" s="0" t="s">
        <v>3486</v>
      </c>
      <c r="F58" s="0" t="s">
        <v>3382</v>
      </c>
      <c r="G58" s="0" t="s">
        <v>1696</v>
      </c>
    </row>
    <row customHeight="1" ht="11.25">
      <c r="A59" s="0" t="s">
        <v>16</v>
      </c>
      <c r="B59" s="0" t="s">
        <v>3479</v>
      </c>
      <c r="C59" s="0" t="s">
        <v>3480</v>
      </c>
      <c r="D59" s="0" t="s">
        <v>3487</v>
      </c>
      <c r="E59" s="0" t="s">
        <v>3488</v>
      </c>
      <c r="F59" s="0" t="s">
        <v>3382</v>
      </c>
      <c r="G59" s="0" t="s">
        <v>1700</v>
      </c>
    </row>
    <row customHeight="1" ht="11.25">
      <c r="A60" s="0" t="s">
        <v>16</v>
      </c>
      <c r="B60" s="0" t="s">
        <v>3479</v>
      </c>
      <c r="C60" s="0" t="s">
        <v>3480</v>
      </c>
      <c r="D60" s="0" t="s">
        <v>3489</v>
      </c>
      <c r="E60" s="0" t="s">
        <v>3490</v>
      </c>
      <c r="F60" s="0" t="s">
        <v>3382</v>
      </c>
      <c r="G60" s="0" t="s">
        <v>1703</v>
      </c>
    </row>
    <row customHeight="1" ht="11.25">
      <c r="A61" s="0" t="s">
        <v>16</v>
      </c>
      <c r="B61" s="0" t="s">
        <v>3479</v>
      </c>
      <c r="C61" s="0" t="s">
        <v>3480</v>
      </c>
      <c r="D61" s="0" t="s">
        <v>3491</v>
      </c>
      <c r="E61" s="0" t="s">
        <v>3492</v>
      </c>
      <c r="F61" s="0" t="s">
        <v>3382</v>
      </c>
      <c r="G61" s="0" t="s">
        <v>3493</v>
      </c>
    </row>
    <row customHeight="1" ht="11.25">
      <c r="A62" s="0" t="s">
        <v>16</v>
      </c>
      <c r="B62" s="0" t="s">
        <v>3479</v>
      </c>
      <c r="C62" s="0" t="s">
        <v>3480</v>
      </c>
      <c r="D62" s="0" t="s">
        <v>3494</v>
      </c>
      <c r="E62" s="0" t="s">
        <v>3495</v>
      </c>
      <c r="F62" s="0" t="s">
        <v>3382</v>
      </c>
      <c r="G62" s="0" t="s">
        <v>3496</v>
      </c>
    </row>
    <row customHeight="1" ht="11.25">
      <c r="A63" s="0" t="s">
        <v>16</v>
      </c>
      <c r="B63" s="0" t="s">
        <v>3479</v>
      </c>
      <c r="C63" s="0" t="s">
        <v>3480</v>
      </c>
      <c r="D63" s="0" t="s">
        <v>3497</v>
      </c>
      <c r="E63" s="0" t="s">
        <v>3498</v>
      </c>
      <c r="F63" s="0" t="s">
        <v>3382</v>
      </c>
      <c r="G63" s="0" t="s">
        <v>3499</v>
      </c>
    </row>
    <row customHeight="1" ht="11.25">
      <c r="A64" s="0" t="s">
        <v>16</v>
      </c>
      <c r="B64" s="0" t="s">
        <v>3479</v>
      </c>
      <c r="C64" s="0" t="s">
        <v>3480</v>
      </c>
      <c r="D64" s="0" t="s">
        <v>3500</v>
      </c>
      <c r="E64" s="0" t="s">
        <v>3501</v>
      </c>
      <c r="F64" s="0" t="s">
        <v>3382</v>
      </c>
      <c r="G64" s="0" t="s">
        <v>3502</v>
      </c>
    </row>
    <row customHeight="1" ht="11.25">
      <c r="A65" s="0" t="s">
        <v>16</v>
      </c>
      <c r="B65" s="0" t="s">
        <v>3479</v>
      </c>
      <c r="C65" s="0" t="s">
        <v>3480</v>
      </c>
      <c r="D65" s="0" t="s">
        <v>3503</v>
      </c>
      <c r="E65" s="0" t="s">
        <v>3504</v>
      </c>
      <c r="F65" s="0" t="s">
        <v>3382</v>
      </c>
      <c r="G65" s="0" t="s">
        <v>3505</v>
      </c>
    </row>
    <row customHeight="1" ht="11.25">
      <c r="A66" s="0" t="s">
        <v>16</v>
      </c>
      <c r="B66" s="0" t="s">
        <v>3479</v>
      </c>
      <c r="C66" s="0" t="s">
        <v>3480</v>
      </c>
      <c r="D66" s="0" t="s">
        <v>3479</v>
      </c>
      <c r="E66" s="0" t="s">
        <v>3480</v>
      </c>
      <c r="F66" s="0" t="s">
        <v>3383</v>
      </c>
      <c r="G66" s="0" t="s">
        <v>3506</v>
      </c>
    </row>
    <row customHeight="1" ht="11.25">
      <c r="A67" s="0" t="s">
        <v>16</v>
      </c>
      <c r="B67" s="0" t="s">
        <v>3479</v>
      </c>
      <c r="C67" s="0" t="s">
        <v>3480</v>
      </c>
      <c r="D67" s="0" t="s">
        <v>3507</v>
      </c>
      <c r="E67" s="0" t="s">
        <v>3508</v>
      </c>
      <c r="F67" s="0" t="s">
        <v>3382</v>
      </c>
      <c r="G67" s="0" t="s">
        <v>2020</v>
      </c>
    </row>
    <row customHeight="1" ht="11.25">
      <c r="A68" s="0" t="s">
        <v>16</v>
      </c>
      <c r="B68" s="0" t="s">
        <v>3479</v>
      </c>
      <c r="C68" s="0" t="s">
        <v>3480</v>
      </c>
      <c r="D68" s="0" t="s">
        <v>3509</v>
      </c>
      <c r="E68" s="0" t="s">
        <v>3510</v>
      </c>
      <c r="F68" s="0" t="s">
        <v>3382</v>
      </c>
      <c r="G68" s="0" t="s">
        <v>3511</v>
      </c>
    </row>
    <row customHeight="1" ht="11.25">
      <c r="A69" s="0" t="s">
        <v>16</v>
      </c>
      <c r="B69" s="0" t="s">
        <v>3479</v>
      </c>
      <c r="C69" s="0" t="s">
        <v>3480</v>
      </c>
      <c r="D69" s="0" t="s">
        <v>3512</v>
      </c>
      <c r="E69" s="0" t="s">
        <v>3513</v>
      </c>
      <c r="F69" s="0" t="s">
        <v>3382</v>
      </c>
      <c r="G69" s="0" t="s">
        <v>2223</v>
      </c>
    </row>
    <row customHeight="1" ht="11.25">
      <c r="A70" s="0" t="s">
        <v>16</v>
      </c>
      <c r="B70" s="0" t="s">
        <v>3514</v>
      </c>
      <c r="C70" s="0" t="s">
        <v>3515</v>
      </c>
      <c r="D70" s="0" t="s">
        <v>3516</v>
      </c>
      <c r="E70" s="0" t="s">
        <v>3517</v>
      </c>
      <c r="F70" s="0" t="s">
        <v>3382</v>
      </c>
      <c r="G70" s="0" t="s">
        <v>3518</v>
      </c>
    </row>
    <row customHeight="1" ht="11.25">
      <c r="A71" s="0" t="s">
        <v>16</v>
      </c>
      <c r="B71" s="0" t="s">
        <v>3514</v>
      </c>
      <c r="C71" s="0" t="s">
        <v>3515</v>
      </c>
      <c r="D71" s="0" t="s">
        <v>3519</v>
      </c>
      <c r="E71" s="0" t="s">
        <v>3520</v>
      </c>
      <c r="F71" s="0" t="s">
        <v>3382</v>
      </c>
      <c r="G71" s="0" t="s">
        <v>3521</v>
      </c>
    </row>
    <row customHeight="1" ht="11.25">
      <c r="A72" s="0" t="s">
        <v>16</v>
      </c>
      <c r="B72" s="0" t="s">
        <v>3514</v>
      </c>
      <c r="C72" s="0" t="s">
        <v>3515</v>
      </c>
      <c r="D72" s="0" t="s">
        <v>3459</v>
      </c>
      <c r="E72" s="0" t="s">
        <v>3522</v>
      </c>
      <c r="F72" s="0" t="s">
        <v>3382</v>
      </c>
      <c r="G72" s="0" t="s">
        <v>3523</v>
      </c>
    </row>
    <row customHeight="1" ht="11.25">
      <c r="A73" s="0" t="s">
        <v>16</v>
      </c>
      <c r="B73" s="0" t="s">
        <v>3514</v>
      </c>
      <c r="C73" s="0" t="s">
        <v>3515</v>
      </c>
      <c r="D73" s="0" t="s">
        <v>3524</v>
      </c>
      <c r="E73" s="0" t="s">
        <v>3525</v>
      </c>
      <c r="F73" s="0" t="s">
        <v>3382</v>
      </c>
      <c r="G73" s="0" t="s">
        <v>3526</v>
      </c>
    </row>
    <row customHeight="1" ht="11.25">
      <c r="A74" s="0" t="s">
        <v>16</v>
      </c>
      <c r="B74" s="0" t="s">
        <v>3514</v>
      </c>
      <c r="C74" s="0" t="s">
        <v>3515</v>
      </c>
      <c r="D74" s="0" t="s">
        <v>3527</v>
      </c>
      <c r="E74" s="0" t="s">
        <v>3528</v>
      </c>
      <c r="F74" s="0" t="s">
        <v>3529</v>
      </c>
      <c r="G74" s="0" t="s">
        <v>3530</v>
      </c>
    </row>
    <row customHeight="1" ht="11.25">
      <c r="A75" s="0" t="s">
        <v>16</v>
      </c>
      <c r="B75" s="0" t="s">
        <v>3514</v>
      </c>
      <c r="C75" s="0" t="s">
        <v>3515</v>
      </c>
      <c r="D75" s="0" t="s">
        <v>3531</v>
      </c>
      <c r="E75" s="0" t="s">
        <v>3532</v>
      </c>
      <c r="F75" s="0" t="s">
        <v>3382</v>
      </c>
      <c r="G75" s="0" t="s">
        <v>3533</v>
      </c>
    </row>
    <row customHeight="1" ht="11.25">
      <c r="A76" s="0" t="s">
        <v>16</v>
      </c>
      <c r="B76" s="0" t="s">
        <v>3514</v>
      </c>
      <c r="C76" s="0" t="s">
        <v>3515</v>
      </c>
      <c r="D76" s="0" t="s">
        <v>3534</v>
      </c>
      <c r="E76" s="0" t="s">
        <v>3535</v>
      </c>
      <c r="F76" s="0" t="s">
        <v>3382</v>
      </c>
      <c r="G76" s="0" t="s">
        <v>3536</v>
      </c>
    </row>
    <row customHeight="1" ht="11.25">
      <c r="A77" s="0" t="s">
        <v>16</v>
      </c>
      <c r="B77" s="0" t="s">
        <v>3514</v>
      </c>
      <c r="C77" s="0" t="s">
        <v>3515</v>
      </c>
      <c r="D77" s="0" t="s">
        <v>3537</v>
      </c>
      <c r="E77" s="0" t="s">
        <v>3538</v>
      </c>
      <c r="F77" s="0" t="s">
        <v>3382</v>
      </c>
      <c r="G77" s="0" t="s">
        <v>3539</v>
      </c>
    </row>
    <row customHeight="1" ht="11.25">
      <c r="A78" s="0" t="s">
        <v>16</v>
      </c>
      <c r="B78" s="0" t="s">
        <v>3514</v>
      </c>
      <c r="C78" s="0" t="s">
        <v>3515</v>
      </c>
      <c r="D78" s="0" t="s">
        <v>3540</v>
      </c>
      <c r="E78" s="0" t="s">
        <v>3541</v>
      </c>
      <c r="F78" s="0" t="s">
        <v>3382</v>
      </c>
      <c r="G78" s="0" t="s">
        <v>3542</v>
      </c>
    </row>
    <row customHeight="1" ht="11.25">
      <c r="A79" s="0" t="s">
        <v>16</v>
      </c>
      <c r="B79" s="0" t="s">
        <v>3514</v>
      </c>
      <c r="C79" s="0" t="s">
        <v>3515</v>
      </c>
      <c r="D79" s="0" t="s">
        <v>3514</v>
      </c>
      <c r="E79" s="0" t="s">
        <v>3515</v>
      </c>
      <c r="F79" s="0" t="s">
        <v>3383</v>
      </c>
      <c r="G79" s="0" t="s">
        <v>3543</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1382E64-677C-33F2-4D4F-AC9B16AE8C05}" mc:Ignorable="x14ac xr xr2 xr3">
  <sheetPr>
    <tabColor rgb="FFFFCC99"/>
  </sheetPr>
  <dimension ref="A1:C3"/>
  <sheetViews>
    <sheetView topLeftCell="A1" showGridLines="0" workbookViewId="0">
      <selection activeCell="A1" sqref="A1"/>
    </sheetView>
  </sheetViews>
  <sheetFormatPr defaultColWidth="9.140625" customHeight="1" defaultRowHeight="11.25"/>
  <cols>
    <col min="1" max="1" style="1691" width="9.140625"/>
    <col min="2" max="2" style="1691" width="84.28125" customWidth="1"/>
    <col min="3" max="3" style="1691" width="9.140625"/>
  </cols>
  <sheetData>
    <row customHeight="1" ht="11.25">
      <c r="A1" s="835" t="s">
        <v>3599</v>
      </c>
      <c r="B1" s="835" t="s">
        <v>3600</v>
      </c>
      <c r="C1" s="835" t="s">
        <v>1167</v>
      </c>
    </row>
    <row customHeight="1" ht="11.25">
      <c r="A2" s="835">
        <v>4189678</v>
      </c>
      <c r="B2" s="835" t="s">
        <v>3601</v>
      </c>
      <c r="C2" s="835" t="s">
        <v>3602</v>
      </c>
    </row>
    <row customHeight="1" ht="11.25">
      <c r="A3" s="835">
        <v>4190415</v>
      </c>
      <c r="B3" s="835" t="s">
        <v>3603</v>
      </c>
      <c r="C3" s="835" t="s">
        <v>3602</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DCA0C54-BC9E-1F29-4F8B-672B345B2918}" mc:Ignorable="x14ac xr xr2 xr3">
  <sheetPr>
    <tabColor rgb="FFFFCC99"/>
  </sheetPr>
  <dimension ref="A1:E8"/>
  <sheetViews>
    <sheetView topLeftCell="A1" showGridLines="0" workbookViewId="0">
      <selection activeCell="A1" sqref="A1"/>
    </sheetView>
  </sheetViews>
  <sheetFormatPr defaultColWidth="9.140625" customHeight="1" defaultRowHeight="15"/>
  <cols>
    <col min="1" max="1" style="162" width="38.421875" customWidth="1"/>
    <col min="2" max="5" style="162" width="9.140625"/>
  </cols>
  <sheetData>
    <row customHeight="1" ht="15">
      <c r="A1" s="163" t="s">
        <v>3604</v>
      </c>
      <c r="B1" s="163" t="s">
        <v>3605</v>
      </c>
      <c r="C1" s="163"/>
      <c r="D1" s="163"/>
      <c r="E1" s="163"/>
    </row>
    <row customHeight="1" ht="15">
      <c r="A2" s="163"/>
      <c r="B2" s="163"/>
      <c r="C2" s="163"/>
      <c r="D2" s="163"/>
      <c r="E2" s="163"/>
    </row>
    <row customHeight="1" ht="15">
      <c r="A3" s="163"/>
      <c r="B3" s="163"/>
      <c r="C3" s="163"/>
      <c r="D3" s="163"/>
      <c r="E3" s="163"/>
    </row>
    <row customHeight="1" ht="15">
      <c r="A4" s="163"/>
      <c r="B4" s="163"/>
      <c r="C4" s="163"/>
      <c r="D4" s="163"/>
      <c r="E4" s="163"/>
    </row>
    <row customHeight="1" ht="15">
      <c r="A5" s="163"/>
      <c r="B5" s="163"/>
      <c r="C5" s="163"/>
      <c r="D5" s="163"/>
      <c r="E5" s="163"/>
    </row>
    <row customHeight="1" ht="15">
      <c r="A6" s="163"/>
      <c r="B6" s="163"/>
      <c r="C6" s="163"/>
      <c r="D6" s="163"/>
      <c r="E6" s="163"/>
    </row>
    <row customHeight="1" ht="15">
      <c r="A7" s="163"/>
      <c r="B7" s="163"/>
      <c r="C7" s="163"/>
      <c r="D7" s="163"/>
      <c r="E7" s="163"/>
    </row>
    <row customHeight="1" ht="15">
      <c r="A8" s="163"/>
      <c r="B8" s="163"/>
      <c r="C8" s="163"/>
      <c r="D8" s="163"/>
      <c r="E8" s="163"/>
    </row>
  </sheetData>
  <sheetProtection formatColumns="0" formatRows="0"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A0E4E7C-5286-41A9-EF99-084D046A803F}" mc:Ignorable="x14ac xr xr2 xr3">
  <sheetPr>
    <tabColor rgb="FFFFCC99"/>
  </sheetPr>
  <dimension ref="A1:E25"/>
  <sheetViews>
    <sheetView topLeftCell="A1" workbookViewId="0">
      <selection activeCell="A1" sqref="A1"/>
    </sheetView>
  </sheetViews>
  <sheetFormatPr customHeight="1" defaultRowHeight="11.25"/>
  <sheetData>
    <row customHeight="1" ht="11.25">
      <c r="A1" s="0" t="s">
        <v>3606</v>
      </c>
      <c r="B1" s="0" t="b">
        <v>1</v>
      </c>
    </row>
    <row customHeight="1" ht="11.25">
      <c r="A2" s="0" t="s">
        <v>3607</v>
      </c>
      <c r="B2" s="0" t="b">
        <v>0</v>
      </c>
    </row>
    <row customHeight="1" ht="11.25">
      <c r="A3" s="0" t="s">
        <v>3608</v>
      </c>
      <c r="B3" s="0" t="b">
        <v>1</v>
      </c>
    </row>
    <row customHeight="1" ht="11.25">
      <c r="A4" s="0" t="s">
        <v>3609</v>
      </c>
      <c r="B4" s="0" t="b">
        <v>0</v>
      </c>
    </row>
    <row customHeight="1" ht="11.25">
      <c r="A5" s="0" t="s">
        <v>3610</v>
      </c>
      <c r="B5" s="0" t="b">
        <v>0</v>
      </c>
    </row>
    <row customHeight="1" ht="11.25">
      <c r="A6" s="0" t="s">
        <v>3611</v>
      </c>
      <c r="B6" s="0" t="b">
        <v>0</v>
      </c>
    </row>
    <row customHeight="1" ht="11.25">
      <c r="A7" s="0" t="s">
        <v>3612</v>
      </c>
      <c r="B7" s="0" t="b">
        <v>0</v>
      </c>
    </row>
    <row customHeight="1" ht="11.25">
      <c r="A8" s="0" t="s">
        <v>3613</v>
      </c>
      <c r="B8" s="0" t="b">
        <v>0</v>
      </c>
    </row>
    <row customHeight="1" ht="11.25">
      <c r="A9" s="0" t="s">
        <v>3614</v>
      </c>
      <c r="B9" s="0" t="b">
        <v>0</v>
      </c>
    </row>
    <row customHeight="1" ht="11.25">
      <c r="A10" s="0" t="s">
        <v>3615</v>
      </c>
      <c r="B10" s="0" t="b">
        <v>0</v>
      </c>
    </row>
    <row customHeight="1" ht="11.25">
      <c r="A11" s="0" t="s">
        <v>3616</v>
      </c>
      <c r="B11" s="0" t="b">
        <v>1</v>
      </c>
    </row>
    <row customHeight="1" ht="11.25">
      <c r="A12" s="0" t="s">
        <v>3617</v>
      </c>
      <c r="B12" s="0" t="b">
        <v>0</v>
      </c>
    </row>
    <row customHeight="1" ht="11.25">
      <c r="A13" s="0" t="s">
        <v>3618</v>
      </c>
      <c r="B13" s="0" t="b">
        <v>0</v>
      </c>
    </row>
    <row customHeight="1" ht="11.25">
      <c r="A14" s="0" t="s">
        <v>3619</v>
      </c>
      <c r="B14" s="0" t="b">
        <v>0</v>
      </c>
    </row>
    <row customHeight="1" ht="11.25">
      <c r="A15" s="0" t="s">
        <v>3620</v>
      </c>
      <c r="B15" s="0" t="b">
        <v>1</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2CFC1EB-36B8-2D76-991B-12F680FB2368}" mc:Ignorable="x14ac xr xr2 xr3">
  <sheetPr>
    <tabColor rgb="FFFFCC99"/>
  </sheetPr>
  <dimension ref="A1:A1"/>
  <sheetViews>
    <sheetView topLeftCell="A1" showGridLines="0" workbookViewId="0">
      <selection activeCell="A1" sqref="A1"/>
    </sheetView>
  </sheetViews>
  <sheetFormatPr defaultColWidth="9.140625" customHeight="1" defaultRowHeight="12.75"/>
  <cols>
    <col min="1" max="1" style="1704" width="9.140625"/>
  </cols>
  <sheetData>
    <row customHeight="1" ht="12.75">
      <c r="A1" s="62"/>
    </row>
  </sheetData>
  <sheetProtection sort="0" autoFilter="0" insertRows="0" insertColumns="1" deleteRows="0" deleteColumns="0"/>
  <pageMargins left="0.75" right="0.75" top="1.00" bottom="1.00" header="0.50" footer="0.50"/>
  <pageSetup pageOrder="downThenOver" orientation="portrait"/>
  <headerFooter>
    <oddHeader>&amp;L&amp;C&amp;R</oddHeader>
    <oddFooter>&amp;L&amp;C&amp;R</oddFooter>
    <evenHeader>&amp;L&amp;C&amp;R</evenHeader>
    <evenFooter>&amp;L&amp;C&amp;R</evenFooter>
  </headerFooter>
</worksheet>
</file>

<file path=xl/worksheets/sheet8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B05FC92-B18F-8467-852D-11382E880B44}" mc:Ignorable="x14ac xr xr2 xr3">
  <sheetPr>
    <tabColor rgb="FFFFCC99"/>
  </sheetPr>
  <dimension ref="A1:B253"/>
  <sheetViews>
    <sheetView topLeftCell="A1" showGridLines="0" workbookViewId="0">
      <selection activeCell="A1" sqref="A1"/>
    </sheetView>
  </sheetViews>
  <sheetFormatPr defaultColWidth="9.140625" customHeight="1" defaultRowHeight="11.25"/>
  <cols>
    <col min="1" max="1" style="1850" width="36.28125" customWidth="1"/>
    <col min="2" max="2" style="1850" width="21.140625" customWidth="1"/>
  </cols>
  <sheetData>
    <row customHeight="1" ht="11.25">
      <c r="A1" s="67" t="s">
        <v>3621</v>
      </c>
      <c r="B1" s="67" t="s">
        <v>3622</v>
      </c>
    </row>
    <row customHeight="1" ht="11.25">
      <c r="A2" s="64" t="s">
        <v>3623</v>
      </c>
      <c r="B2" s="64" t="s">
        <v>3624</v>
      </c>
    </row>
    <row customHeight="1" ht="11.25">
      <c r="A3" s="64" t="s">
        <v>3625</v>
      </c>
      <c r="B3" s="64" t="s">
        <v>3626</v>
      </c>
    </row>
    <row customHeight="1" ht="11.25">
      <c r="A4" s="64" t="s">
        <v>3627</v>
      </c>
      <c r="B4" s="64" t="s">
        <v>3628</v>
      </c>
    </row>
    <row customHeight="1" ht="11.25">
      <c r="A5" s="64" t="s">
        <v>3629</v>
      </c>
      <c r="B5" s="64" t="s">
        <v>3630</v>
      </c>
    </row>
    <row customHeight="1" ht="11.25">
      <c r="A6" s="64" t="s">
        <v>3631</v>
      </c>
      <c r="B6" s="64" t="s">
        <v>3632</v>
      </c>
    </row>
    <row customHeight="1" ht="11.25">
      <c r="A7" s="64" t="s">
        <v>3633</v>
      </c>
      <c r="B7" s="64" t="s">
        <v>3634</v>
      </c>
    </row>
    <row customHeight="1" ht="11.25">
      <c r="A8" s="64" t="s">
        <v>3635</v>
      </c>
      <c r="B8" s="64" t="s">
        <v>3636</v>
      </c>
    </row>
    <row customHeight="1" ht="11.25">
      <c r="A9" s="64" t="s">
        <v>3637</v>
      </c>
      <c r="B9" s="64" t="s">
        <v>3638</v>
      </c>
    </row>
    <row customHeight="1" ht="11.25">
      <c r="A10" s="64" t="s">
        <v>3639</v>
      </c>
      <c r="B10" s="64" t="s">
        <v>3640</v>
      </c>
    </row>
    <row customHeight="1" ht="11.25">
      <c r="A11" s="64" t="s">
        <v>3641</v>
      </c>
      <c r="B11" s="64" t="s">
        <v>3642</v>
      </c>
    </row>
    <row customHeight="1" ht="11.25">
      <c r="A12" s="64" t="s">
        <v>3643</v>
      </c>
      <c r="B12" s="64" t="s">
        <v>3644</v>
      </c>
    </row>
    <row customHeight="1" ht="11.25">
      <c r="A13" s="64" t="s">
        <v>3645</v>
      </c>
      <c r="B13" s="64" t="s">
        <v>3646</v>
      </c>
    </row>
    <row customHeight="1" ht="11.25">
      <c r="A14" s="64" t="s">
        <v>3647</v>
      </c>
      <c r="B14" s="64" t="s">
        <v>3648</v>
      </c>
    </row>
    <row customHeight="1" ht="11.25">
      <c r="A15" s="64" t="s">
        <v>3649</v>
      </c>
      <c r="B15" s="64" t="s">
        <v>3650</v>
      </c>
    </row>
    <row customHeight="1" ht="11.25">
      <c r="A16" s="64" t="s">
        <v>3651</v>
      </c>
      <c r="B16" s="64" t="s">
        <v>3652</v>
      </c>
    </row>
    <row customHeight="1" ht="11.25">
      <c r="A17" s="64" t="s">
        <v>3653</v>
      </c>
      <c r="B17" s="64" t="s">
        <v>3654</v>
      </c>
    </row>
    <row customHeight="1" ht="11.25">
      <c r="A18" s="64" t="s">
        <v>3655</v>
      </c>
      <c r="B18" s="64" t="s">
        <v>3656</v>
      </c>
    </row>
    <row customHeight="1" ht="11.25">
      <c r="A19" s="64" t="s">
        <v>3657</v>
      </c>
      <c r="B19" s="64" t="s">
        <v>3658</v>
      </c>
    </row>
    <row customHeight="1" ht="11.25">
      <c r="A20" s="64" t="s">
        <v>3659</v>
      </c>
      <c r="B20" s="64" t="s">
        <v>3660</v>
      </c>
    </row>
    <row customHeight="1" ht="11.25">
      <c r="A21" s="64" t="s">
        <v>3661</v>
      </c>
      <c r="B21" s="64" t="s">
        <v>3662</v>
      </c>
    </row>
    <row customHeight="1" ht="11.25">
      <c r="A22" s="64" t="s">
        <v>3663</v>
      </c>
      <c r="B22" s="64" t="s">
        <v>3664</v>
      </c>
    </row>
    <row customHeight="1" ht="11.25">
      <c r="A23" s="64" t="s">
        <v>3665</v>
      </c>
      <c r="B23" s="64" t="s">
        <v>3666</v>
      </c>
    </row>
    <row customHeight="1" ht="11.25">
      <c r="A24" s="64" t="s">
        <v>3667</v>
      </c>
      <c r="B24" s="64" t="s">
        <v>3668</v>
      </c>
    </row>
    <row customHeight="1" ht="11.25">
      <c r="A25" s="64" t="s">
        <v>3669</v>
      </c>
      <c r="B25" s="64" t="s">
        <v>3670</v>
      </c>
    </row>
    <row customHeight="1" ht="11.25">
      <c r="A26" s="64" t="s">
        <v>3671</v>
      </c>
      <c r="B26" s="64" t="s">
        <v>3672</v>
      </c>
    </row>
    <row customHeight="1" ht="11.25">
      <c r="A27" s="64" t="s">
        <v>3673</v>
      </c>
      <c r="B27" s="64" t="s">
        <v>3674</v>
      </c>
    </row>
    <row customHeight="1" ht="11.25">
      <c r="A28" s="64" t="s">
        <v>3675</v>
      </c>
      <c r="B28" s="64" t="s">
        <v>3676</v>
      </c>
    </row>
    <row customHeight="1" ht="11.25">
      <c r="A29" s="64" t="s">
        <v>3677</v>
      </c>
      <c r="B29" s="64" t="s">
        <v>3678</v>
      </c>
    </row>
    <row customHeight="1" ht="11.25">
      <c r="A30" s="64" t="s">
        <v>3679</v>
      </c>
      <c r="B30" s="64" t="s">
        <v>3680</v>
      </c>
    </row>
    <row customHeight="1" ht="11.25">
      <c r="A31" s="64" t="s">
        <v>3681</v>
      </c>
      <c r="B31" s="64" t="s">
        <v>3682</v>
      </c>
    </row>
    <row customHeight="1" ht="11.25">
      <c r="A32" s="64" t="s">
        <v>3683</v>
      </c>
      <c r="B32" s="64" t="s">
        <v>3684</v>
      </c>
    </row>
    <row customHeight="1" ht="11.25">
      <c r="A33" s="64" t="s">
        <v>3685</v>
      </c>
      <c r="B33" s="64" t="s">
        <v>3686</v>
      </c>
    </row>
    <row customHeight="1" ht="11.25">
      <c r="A34" s="64" t="s">
        <v>3687</v>
      </c>
      <c r="B34" s="64" t="s">
        <v>3688</v>
      </c>
    </row>
    <row customHeight="1" ht="11.25">
      <c r="A35" s="64" t="s">
        <v>3689</v>
      </c>
      <c r="B35" s="64" t="s">
        <v>3690</v>
      </c>
    </row>
    <row customHeight="1" ht="11.25">
      <c r="A36" s="64" t="s">
        <v>3691</v>
      </c>
      <c r="B36" s="64" t="s">
        <v>3692</v>
      </c>
    </row>
    <row customHeight="1" ht="11.25">
      <c r="A37" s="64" t="s">
        <v>3693</v>
      </c>
      <c r="B37" s="64" t="s">
        <v>3694</v>
      </c>
    </row>
    <row customHeight="1" ht="11.25">
      <c r="A38" s="64" t="s">
        <v>3695</v>
      </c>
      <c r="B38" s="64" t="s">
        <v>3696</v>
      </c>
    </row>
    <row customHeight="1" ht="11.25">
      <c r="A39" s="64" t="s">
        <v>3697</v>
      </c>
      <c r="B39" s="64" t="s">
        <v>3698</v>
      </c>
    </row>
    <row customHeight="1" ht="11.25">
      <c r="A40" s="64" t="s">
        <v>3699</v>
      </c>
      <c r="B40" s="64" t="s">
        <v>3700</v>
      </c>
    </row>
    <row customHeight="1" ht="11.25">
      <c r="A41" s="64" t="s">
        <v>3701</v>
      </c>
      <c r="B41" s="64" t="s">
        <v>3702</v>
      </c>
    </row>
    <row customHeight="1" ht="11.25">
      <c r="A42" s="64" t="s">
        <v>3703</v>
      </c>
      <c r="B42" s="64" t="s">
        <v>3704</v>
      </c>
    </row>
    <row customHeight="1" ht="11.25">
      <c r="A43" s="64" t="s">
        <v>3705</v>
      </c>
      <c r="B43" s="64" t="s">
        <v>3706</v>
      </c>
    </row>
    <row customHeight="1" ht="11.25">
      <c r="A44" s="64" t="s">
        <v>3707</v>
      </c>
      <c r="B44" s="64" t="s">
        <v>3708</v>
      </c>
    </row>
    <row customHeight="1" ht="11.25">
      <c r="A45" s="64" t="s">
        <v>3709</v>
      </c>
      <c r="B45" s="64" t="s">
        <v>3710</v>
      </c>
    </row>
    <row customHeight="1" ht="11.25">
      <c r="A46" s="64" t="s">
        <v>3711</v>
      </c>
      <c r="B46" s="64" t="s">
        <v>3712</v>
      </c>
    </row>
    <row customHeight="1" ht="11.25">
      <c r="A47" s="64" t="s">
        <v>3713</v>
      </c>
      <c r="B47" s="64" t="s">
        <v>3714</v>
      </c>
    </row>
    <row customHeight="1" ht="11.25">
      <c r="A48" s="64" t="s">
        <v>3715</v>
      </c>
      <c r="B48" s="64" t="s">
        <v>3716</v>
      </c>
    </row>
    <row customHeight="1" ht="11.25">
      <c r="A49" s="64" t="s">
        <v>3717</v>
      </c>
      <c r="B49" s="64" t="s">
        <v>3718</v>
      </c>
    </row>
    <row customHeight="1" ht="11.25">
      <c r="A50" s="64" t="s">
        <v>3719</v>
      </c>
      <c r="B50" s="64" t="s">
        <v>3720</v>
      </c>
    </row>
    <row customHeight="1" ht="11.25">
      <c r="A51" s="64" t="s">
        <v>3721</v>
      </c>
      <c r="B51" s="64" t="s">
        <v>3722</v>
      </c>
    </row>
    <row customHeight="1" ht="11.25">
      <c r="A52" s="64" t="s">
        <v>3723</v>
      </c>
      <c r="B52" s="64" t="s">
        <v>3724</v>
      </c>
    </row>
    <row customHeight="1" ht="11.25">
      <c r="A53" s="64" t="s">
        <v>3725</v>
      </c>
      <c r="B53" s="64" t="s">
        <v>3726</v>
      </c>
    </row>
    <row customHeight="1" ht="11.25">
      <c r="A54" s="64" t="s">
        <v>3727</v>
      </c>
      <c r="B54" s="64" t="s">
        <v>3728</v>
      </c>
    </row>
    <row customHeight="1" ht="11.25">
      <c r="A55" s="64" t="s">
        <v>3729</v>
      </c>
      <c r="B55" s="64" t="s">
        <v>3730</v>
      </c>
    </row>
    <row customHeight="1" ht="11.25">
      <c r="A56" s="64" t="s">
        <v>3731</v>
      </c>
      <c r="B56" s="64" t="s">
        <v>3732</v>
      </c>
    </row>
    <row customHeight="1" ht="11.25">
      <c r="A57" s="64" t="s">
        <v>3733</v>
      </c>
      <c r="B57" s="64" t="s">
        <v>3734</v>
      </c>
    </row>
    <row customHeight="1" ht="11.25">
      <c r="A58" s="64" t="s">
        <v>3735</v>
      </c>
      <c r="B58" s="64" t="s">
        <v>3736</v>
      </c>
    </row>
    <row customHeight="1" ht="11.25">
      <c r="A59" s="64" t="s">
        <v>3737</v>
      </c>
      <c r="B59" s="64" t="s">
        <v>3738</v>
      </c>
    </row>
    <row customHeight="1" ht="11.25">
      <c r="A60" s="64" t="s">
        <v>3739</v>
      </c>
      <c r="B60" s="64" t="s">
        <v>3740</v>
      </c>
    </row>
    <row customHeight="1" ht="11.25">
      <c r="A61" s="64"/>
      <c r="B61" s="64" t="s">
        <v>3741</v>
      </c>
    </row>
    <row customHeight="1" ht="11.25">
      <c r="A62" s="64"/>
      <c r="B62" s="64" t="s">
        <v>3742</v>
      </c>
    </row>
    <row customHeight="1" ht="11.25">
      <c r="A63" s="64"/>
      <c r="B63" s="64" t="s">
        <v>3743</v>
      </c>
    </row>
    <row customHeight="1" ht="11.25">
      <c r="A64" s="64"/>
      <c r="B64" s="64" t="s">
        <v>3744</v>
      </c>
    </row>
    <row customHeight="1" ht="11.25">
      <c r="A65" s="64"/>
      <c r="B65" s="64" t="s">
        <v>3745</v>
      </c>
    </row>
    <row customHeight="1" ht="11.25">
      <c r="A66" s="64"/>
      <c r="B66" s="64" t="s">
        <v>3746</v>
      </c>
    </row>
    <row customHeight="1" ht="11.25">
      <c r="A67" s="64"/>
      <c r="B67" s="64" t="s">
        <v>3747</v>
      </c>
    </row>
    <row customHeight="1" ht="11.25">
      <c r="A68" s="64"/>
      <c r="B68" s="64" t="s">
        <v>3748</v>
      </c>
    </row>
    <row customHeight="1" ht="11.25">
      <c r="A69" s="64"/>
      <c r="B69" s="64" t="s">
        <v>3749</v>
      </c>
    </row>
    <row customHeight="1" ht="11.25">
      <c r="A70" s="64"/>
      <c r="B70" s="64" t="s">
        <v>3750</v>
      </c>
    </row>
    <row customHeight="1" ht="11.25">
      <c r="A71" s="64"/>
      <c r="B71" s="64"/>
    </row>
    <row customHeight="1" ht="11.25">
      <c r="A72" s="64"/>
      <c r="B72" s="64"/>
    </row>
    <row customHeight="1" ht="11.25">
      <c r="A73" s="64"/>
      <c r="B73" s="64"/>
    </row>
    <row customHeight="1" ht="11.25">
      <c r="A74" s="64"/>
      <c r="B74" s="64"/>
    </row>
    <row customHeight="1" ht="11.25">
      <c r="A75" s="64"/>
      <c r="B75" s="64"/>
    </row>
    <row customHeight="1" ht="11.25">
      <c r="A76" s="64"/>
      <c r="B76" s="64"/>
    </row>
    <row customHeight="1" ht="11.25">
      <c r="A77" s="64"/>
      <c r="B77" s="64"/>
    </row>
    <row customHeight="1" ht="11.25">
      <c r="A78" s="64"/>
      <c r="B78" s="64"/>
    </row>
    <row customHeight="1" ht="11.25">
      <c r="A79" s="64"/>
      <c r="B79" s="64"/>
    </row>
    <row customHeight="1" ht="11.25">
      <c r="A80" s="64"/>
      <c r="B80" s="64"/>
    </row>
    <row customHeight="1" ht="11.25">
      <c r="A81" s="64"/>
      <c r="B81" s="64"/>
    </row>
    <row customHeight="1" ht="11.25">
      <c r="A82" s="64"/>
      <c r="B82" s="64"/>
    </row>
    <row customHeight="1" ht="11.25">
      <c r="A83" s="64"/>
      <c r="B83" s="64"/>
    </row>
    <row customHeight="1" ht="11.25">
      <c r="A84" s="64"/>
      <c r="B84" s="64"/>
    </row>
    <row customHeight="1" ht="11.25">
      <c r="A85" s="64"/>
      <c r="B85" s="64"/>
    </row>
    <row customHeight="1" ht="11.25">
      <c r="A86" s="64"/>
      <c r="B86" s="64"/>
    </row>
    <row customHeight="1" ht="11.25">
      <c r="A87" s="64"/>
      <c r="B87" s="64"/>
    </row>
    <row customHeight="1" ht="11.25">
      <c r="A88" s="64"/>
      <c r="B88" s="64"/>
    </row>
    <row customHeight="1" ht="11.25">
      <c r="A89" s="64"/>
      <c r="B89" s="64"/>
    </row>
    <row customHeight="1" ht="11.25">
      <c r="A90" s="64"/>
      <c r="B90" s="64"/>
    </row>
    <row customHeight="1" ht="11.25">
      <c r="A91" s="64"/>
      <c r="B91" s="64"/>
    </row>
    <row customHeight="1" ht="11.25">
      <c r="A92" s="64"/>
      <c r="B92" s="64"/>
    </row>
    <row customHeight="1" ht="11.25">
      <c r="A93" s="64"/>
      <c r="B93" s="64"/>
    </row>
    <row customHeight="1" ht="11.25">
      <c r="A94" s="64"/>
      <c r="B94" s="64"/>
    </row>
    <row customHeight="1" ht="11.25">
      <c r="A95" s="64"/>
      <c r="B95" s="64"/>
    </row>
    <row customHeight="1" ht="11.25">
      <c r="A96" s="64"/>
      <c r="B96" s="64"/>
    </row>
    <row customHeight="1" ht="11.25">
      <c r="A97" s="64"/>
      <c r="B97" s="64"/>
    </row>
    <row customHeight="1" ht="11.25">
      <c r="A98" s="64"/>
      <c r="B98" s="64"/>
    </row>
    <row customHeight="1" ht="11.25">
      <c r="A99" s="64"/>
      <c r="B99" s="64"/>
    </row>
    <row customHeight="1" ht="11.25">
      <c r="A100" s="64"/>
      <c r="B100" s="64"/>
    </row>
    <row customHeight="1" ht="11.25">
      <c r="A101" s="64"/>
      <c r="B101" s="64"/>
    </row>
    <row customHeight="1" ht="11.25">
      <c r="A102" s="64"/>
      <c r="B102" s="64"/>
    </row>
    <row customHeight="1" ht="11.25">
      <c r="A103" s="64"/>
      <c r="B103" s="64"/>
    </row>
    <row customHeight="1" ht="11.25">
      <c r="A104" s="64"/>
      <c r="B104" s="64"/>
    </row>
    <row customHeight="1" ht="11.25">
      <c r="A105" s="64"/>
      <c r="B105" s="64"/>
    </row>
    <row customHeight="1" ht="11.25">
      <c r="A106" s="64"/>
      <c r="B106" s="64"/>
    </row>
    <row customHeight="1" ht="11.25">
      <c r="A107" s="64"/>
      <c r="B107" s="64"/>
    </row>
    <row customHeight="1" ht="11.25">
      <c r="A108" s="64"/>
      <c r="B108" s="64"/>
    </row>
    <row customHeight="1" ht="11.25">
      <c r="A109" s="64"/>
      <c r="B109" s="64"/>
    </row>
    <row customHeight="1" ht="11.25">
      <c r="A110" s="64"/>
      <c r="B110" s="64"/>
    </row>
    <row customHeight="1" ht="11.25">
      <c r="A111" s="64"/>
      <c r="B111" s="64"/>
    </row>
    <row customHeight="1" ht="11.25">
      <c r="A112" s="64"/>
      <c r="B112" s="64"/>
    </row>
    <row customHeight="1" ht="11.25">
      <c r="A113" s="64"/>
      <c r="B113" s="64"/>
    </row>
    <row customHeight="1" ht="11.25">
      <c r="A114" s="64"/>
      <c r="B114" s="64"/>
    </row>
    <row customHeight="1" ht="11.25">
      <c r="A115" s="64"/>
      <c r="B115" s="64"/>
    </row>
    <row customHeight="1" ht="11.25">
      <c r="A116" s="64"/>
      <c r="B116" s="64"/>
    </row>
    <row customHeight="1" ht="11.25">
      <c r="A117" s="64"/>
      <c r="B117" s="64"/>
    </row>
    <row customHeight="1" ht="11.25">
      <c r="A118" s="64"/>
      <c r="B118" s="64"/>
    </row>
    <row customHeight="1" ht="11.25">
      <c r="A119" s="64"/>
      <c r="B119" s="64"/>
    </row>
    <row customHeight="1" ht="11.25">
      <c r="A120" s="64"/>
      <c r="B120" s="64"/>
    </row>
    <row customHeight="1" ht="11.25">
      <c r="A121" s="64"/>
      <c r="B121" s="64"/>
    </row>
    <row customHeight="1" ht="11.25">
      <c r="A122" s="64"/>
      <c r="B122" s="64"/>
    </row>
    <row customHeight="1" ht="11.25">
      <c r="A123" s="64"/>
      <c r="B123" s="64"/>
    </row>
    <row customHeight="1" ht="11.25">
      <c r="A124" s="64"/>
      <c r="B124" s="64"/>
    </row>
    <row customHeight="1" ht="11.25">
      <c r="A125" s="64"/>
      <c r="B125" s="64"/>
    </row>
    <row customHeight="1" ht="11.25">
      <c r="A126" s="64"/>
      <c r="B126" s="64"/>
    </row>
    <row customHeight="1" ht="11.25">
      <c r="A127" s="64"/>
      <c r="B127" s="64"/>
    </row>
    <row customHeight="1" ht="11.25">
      <c r="A128" s="64"/>
      <c r="B128" s="64"/>
    </row>
    <row customHeight="1" ht="11.25">
      <c r="A129" s="64"/>
      <c r="B129" s="64"/>
    </row>
    <row customHeight="1" ht="11.25">
      <c r="A130" s="64"/>
      <c r="B130" s="64"/>
    </row>
    <row customHeight="1" ht="11.25">
      <c r="A131" s="64"/>
      <c r="B131" s="64"/>
    </row>
    <row customHeight="1" ht="11.25">
      <c r="A132" s="64"/>
      <c r="B132" s="64"/>
    </row>
    <row customHeight="1" ht="11.25">
      <c r="A133" s="64"/>
      <c r="B133" s="64"/>
    </row>
    <row customHeight="1" ht="11.25">
      <c r="A134" s="64"/>
      <c r="B134" s="64"/>
    </row>
    <row customHeight="1" ht="11.25">
      <c r="A135" s="64"/>
      <c r="B135" s="64"/>
    </row>
    <row customHeight="1" ht="11.25">
      <c r="A136" s="64"/>
      <c r="B136" s="64"/>
    </row>
    <row customHeight="1" ht="11.25">
      <c r="A137" s="64"/>
      <c r="B137" s="64"/>
    </row>
    <row customHeight="1" ht="11.25">
      <c r="A138" s="64"/>
      <c r="B138" s="64"/>
    </row>
    <row customHeight="1" ht="11.25">
      <c r="A139" s="64"/>
      <c r="B139" s="64"/>
    </row>
    <row customHeight="1" ht="11.25">
      <c r="A140" s="64"/>
      <c r="B140" s="64"/>
    </row>
    <row customHeight="1" ht="11.25">
      <c r="A141" s="64"/>
      <c r="B141" s="64"/>
    </row>
    <row customHeight="1" ht="11.25">
      <c r="A142" s="64"/>
      <c r="B142" s="64"/>
    </row>
    <row customHeight="1" ht="11.25">
      <c r="A143" s="64"/>
      <c r="B143" s="64"/>
    </row>
    <row customHeight="1" ht="11.25">
      <c r="A144" s="64"/>
      <c r="B144" s="64"/>
    </row>
    <row customHeight="1" ht="11.25">
      <c r="A145" s="64"/>
      <c r="B145" s="64"/>
    </row>
    <row customHeight="1" ht="11.25">
      <c r="A146" s="64"/>
      <c r="B146" s="64"/>
    </row>
    <row customHeight="1" ht="11.25">
      <c r="A147" s="64"/>
      <c r="B147" s="64"/>
    </row>
    <row customHeight="1" ht="11.25">
      <c r="A148" s="64"/>
      <c r="B148" s="64"/>
    </row>
    <row customHeight="1" ht="11.25">
      <c r="A149" s="64"/>
      <c r="B149" s="64"/>
    </row>
    <row customHeight="1" ht="11.25">
      <c r="A150" s="64"/>
      <c r="B150" s="64"/>
    </row>
    <row customHeight="1" ht="11.25">
      <c r="A151" s="64"/>
      <c r="B151" s="64"/>
    </row>
    <row customHeight="1" ht="11.25">
      <c r="A152" s="64"/>
      <c r="B152" s="64"/>
    </row>
    <row customHeight="1" ht="11.25">
      <c r="A153" s="64"/>
      <c r="B153" s="64"/>
    </row>
    <row customHeight="1" ht="11.25">
      <c r="A154" s="64"/>
      <c r="B154" s="64"/>
    </row>
    <row customHeight="1" ht="11.25">
      <c r="A155" s="64"/>
      <c r="B155" s="64"/>
    </row>
    <row customHeight="1" ht="11.25">
      <c r="A156" s="64"/>
      <c r="B156" s="64"/>
    </row>
    <row customHeight="1" ht="11.25">
      <c r="A157" s="64"/>
      <c r="B157" s="64"/>
    </row>
    <row customHeight="1" ht="11.25">
      <c r="A158" s="64"/>
      <c r="B158" s="64"/>
    </row>
    <row customHeight="1" ht="11.25">
      <c r="A159" s="64"/>
      <c r="B159" s="64"/>
    </row>
    <row customHeight="1" ht="11.25">
      <c r="A160" s="64"/>
      <c r="B160" s="64"/>
    </row>
    <row customHeight="1" ht="11.25">
      <c r="A161" s="64"/>
      <c r="B161" s="64"/>
    </row>
    <row customHeight="1" ht="11.25">
      <c r="A162" s="64"/>
      <c r="B162" s="64"/>
    </row>
    <row customHeight="1" ht="11.25">
      <c r="A163" s="64"/>
      <c r="B163" s="64"/>
    </row>
    <row customHeight="1" ht="11.25">
      <c r="A164" s="64"/>
      <c r="B164" s="64"/>
    </row>
    <row customHeight="1" ht="11.25">
      <c r="A165" s="64"/>
      <c r="B165" s="64"/>
    </row>
    <row customHeight="1" ht="11.25">
      <c r="A166" s="64"/>
      <c r="B166" s="64"/>
    </row>
    <row customHeight="1" ht="11.25">
      <c r="A167" s="64"/>
      <c r="B167" s="64"/>
    </row>
    <row customHeight="1" ht="11.25">
      <c r="A168" s="64"/>
      <c r="B168" s="64"/>
    </row>
    <row customHeight="1" ht="11.25">
      <c r="A169" s="64"/>
      <c r="B169" s="64"/>
    </row>
    <row customHeight="1" ht="11.25">
      <c r="A170" s="64"/>
      <c r="B170" s="64"/>
    </row>
    <row customHeight="1" ht="11.25">
      <c r="A171" s="64"/>
      <c r="B171" s="64"/>
    </row>
    <row customHeight="1" ht="11.25">
      <c r="A172" s="64"/>
      <c r="B172" s="64"/>
    </row>
    <row customHeight="1" ht="11.25">
      <c r="A173" s="64"/>
      <c r="B173" s="64"/>
    </row>
    <row customHeight="1" ht="11.25">
      <c r="A174" s="64"/>
      <c r="B174" s="64"/>
    </row>
    <row customHeight="1" ht="11.25">
      <c r="A175" s="64"/>
      <c r="B175" s="64"/>
    </row>
    <row customHeight="1" ht="11.25">
      <c r="A176" s="64"/>
      <c r="B176" s="64"/>
    </row>
    <row customHeight="1" ht="11.25">
      <c r="A177" s="64"/>
      <c r="B177" s="64"/>
    </row>
    <row customHeight="1" ht="11.25">
      <c r="A178" s="64"/>
      <c r="B178" s="64"/>
    </row>
    <row customHeight="1" ht="11.25">
      <c r="A179" s="64"/>
      <c r="B179" s="64"/>
    </row>
    <row customHeight="1" ht="11.25">
      <c r="A180" s="64"/>
      <c r="B180" s="64"/>
    </row>
    <row customHeight="1" ht="11.25">
      <c r="A181" s="64"/>
      <c r="B181" s="64"/>
    </row>
    <row customHeight="1" ht="11.25">
      <c r="A182" s="64"/>
      <c r="B182" s="64"/>
    </row>
    <row customHeight="1" ht="11.25">
      <c r="A183" s="64"/>
      <c r="B183" s="64"/>
    </row>
    <row customHeight="1" ht="11.25">
      <c r="A184" s="64"/>
      <c r="B184" s="64"/>
    </row>
    <row customHeight="1" ht="11.25">
      <c r="A185" s="64"/>
      <c r="B185" s="64"/>
    </row>
    <row customHeight="1" ht="11.25">
      <c r="A186" s="64"/>
      <c r="B186" s="64"/>
    </row>
    <row customHeight="1" ht="11.25">
      <c r="A187" s="64"/>
      <c r="B187" s="64"/>
    </row>
    <row customHeight="1" ht="11.25">
      <c r="A188" s="64"/>
      <c r="B188" s="64"/>
    </row>
    <row customHeight="1" ht="11.25">
      <c r="A189" s="64"/>
      <c r="B189" s="64"/>
    </row>
    <row customHeight="1" ht="11.25">
      <c r="A190" s="64"/>
      <c r="B190" s="64"/>
    </row>
    <row customHeight="1" ht="11.25">
      <c r="A191" s="64"/>
      <c r="B191" s="64"/>
    </row>
    <row customHeight="1" ht="11.25">
      <c r="A192" s="64"/>
      <c r="B192" s="64"/>
    </row>
    <row customHeight="1" ht="11.25">
      <c r="A193" s="64"/>
      <c r="B193" s="64"/>
    </row>
    <row customHeight="1" ht="11.25">
      <c r="A194" s="64"/>
      <c r="B194" s="64"/>
    </row>
    <row customHeight="1" ht="11.25">
      <c r="A195" s="64"/>
      <c r="B195" s="64"/>
    </row>
    <row customHeight="1" ht="11.25">
      <c r="A196" s="64"/>
      <c r="B196" s="64"/>
    </row>
    <row customHeight="1" ht="11.25">
      <c r="A197" s="64"/>
      <c r="B197" s="64"/>
    </row>
    <row customHeight="1" ht="11.25">
      <c r="A198" s="64"/>
      <c r="B198" s="64"/>
    </row>
    <row customHeight="1" ht="11.25">
      <c r="A199" s="64"/>
      <c r="B199" s="64"/>
    </row>
    <row customHeight="1" ht="11.25">
      <c r="A200" s="64"/>
      <c r="B200" s="64"/>
    </row>
    <row customHeight="1" ht="11.25">
      <c r="A201" s="64"/>
      <c r="B201" s="64"/>
    </row>
    <row customHeight="1" ht="11.25">
      <c r="A202" s="64"/>
      <c r="B202" s="64"/>
    </row>
    <row customHeight="1" ht="11.25">
      <c r="A203" s="64"/>
      <c r="B203" s="64"/>
    </row>
    <row customHeight="1" ht="11.25">
      <c r="A204" s="64"/>
      <c r="B204" s="64"/>
    </row>
    <row customHeight="1" ht="11.25">
      <c r="A205" s="64"/>
      <c r="B205" s="64"/>
    </row>
    <row customHeight="1" ht="11.25">
      <c r="A206" s="64"/>
      <c r="B206" s="64"/>
    </row>
    <row customHeight="1" ht="11.25">
      <c r="A207" s="64"/>
      <c r="B207" s="64"/>
    </row>
    <row customHeight="1" ht="11.25">
      <c r="A208" s="64"/>
      <c r="B208" s="64"/>
    </row>
    <row customHeight="1" ht="11.25">
      <c r="A209" s="64"/>
      <c r="B209" s="64"/>
    </row>
    <row customHeight="1" ht="11.25">
      <c r="A210" s="64"/>
      <c r="B210" s="64"/>
    </row>
    <row customHeight="1" ht="11.25">
      <c r="A211" s="64"/>
      <c r="B211" s="64"/>
    </row>
    <row customHeight="1" ht="11.25">
      <c r="A212" s="64"/>
      <c r="B212" s="64"/>
    </row>
    <row customHeight="1" ht="11.25">
      <c r="A213" s="64"/>
      <c r="B213" s="64"/>
    </row>
    <row customHeight="1" ht="11.25">
      <c r="A214" s="64"/>
      <c r="B214" s="64"/>
    </row>
    <row customHeight="1" ht="11.25">
      <c r="A215" s="64"/>
      <c r="B215" s="64"/>
    </row>
    <row customHeight="1" ht="11.25">
      <c r="A216" s="64"/>
      <c r="B216" s="64"/>
    </row>
    <row customHeight="1" ht="11.25">
      <c r="A217" s="64"/>
      <c r="B217" s="64"/>
    </row>
    <row customHeight="1" ht="11.25">
      <c r="A218" s="64"/>
      <c r="B218" s="64"/>
    </row>
    <row customHeight="1" ht="11.25">
      <c r="A219" s="64"/>
      <c r="B219" s="64"/>
    </row>
    <row customHeight="1" ht="11.25">
      <c r="A220" s="64"/>
      <c r="B220" s="64"/>
    </row>
    <row customHeight="1" ht="11.25">
      <c r="A221" s="64"/>
      <c r="B221" s="64"/>
    </row>
    <row customHeight="1" ht="11.25">
      <c r="A222" s="64"/>
      <c r="B222" s="64"/>
    </row>
    <row customHeight="1" ht="11.25">
      <c r="A223" s="64"/>
      <c r="B223" s="64"/>
    </row>
    <row customHeight="1" ht="11.25">
      <c r="A224" s="64"/>
      <c r="B224" s="64"/>
    </row>
    <row customHeight="1" ht="11.25">
      <c r="A225" s="64"/>
      <c r="B225" s="64"/>
    </row>
    <row customHeight="1" ht="11.25">
      <c r="A226" s="64"/>
      <c r="B226" s="64"/>
    </row>
    <row customHeight="1" ht="11.25">
      <c r="A227" s="64"/>
      <c r="B227" s="64"/>
    </row>
    <row customHeight="1" ht="11.25">
      <c r="A228" s="64"/>
      <c r="B228" s="64"/>
    </row>
    <row customHeight="1" ht="11.25">
      <c r="A229" s="64"/>
      <c r="B229" s="64"/>
    </row>
    <row customHeight="1" ht="11.25">
      <c r="A230" s="64"/>
      <c r="B230" s="64"/>
    </row>
    <row customHeight="1" ht="11.25">
      <c r="A231" s="64"/>
      <c r="B231" s="64"/>
    </row>
    <row customHeight="1" ht="11.25">
      <c r="A232" s="64"/>
      <c r="B232" s="64"/>
    </row>
    <row customHeight="1" ht="11.25">
      <c r="A233" s="64"/>
      <c r="B233" s="64"/>
    </row>
    <row customHeight="1" ht="11.25">
      <c r="A234" s="64"/>
      <c r="B234" s="64"/>
    </row>
    <row customHeight="1" ht="11.25">
      <c r="A235" s="64"/>
      <c r="B235" s="64"/>
    </row>
    <row customHeight="1" ht="11.25">
      <c r="A236" s="64"/>
      <c r="B236" s="64"/>
    </row>
    <row customHeight="1" ht="11.25">
      <c r="A237" s="64"/>
      <c r="B237" s="64"/>
    </row>
    <row customHeight="1" ht="11.25">
      <c r="A238" s="64"/>
      <c r="B238" s="64"/>
    </row>
    <row customHeight="1" ht="11.25">
      <c r="A239" s="64"/>
      <c r="B239" s="64"/>
    </row>
    <row customHeight="1" ht="11.25">
      <c r="A240" s="64"/>
      <c r="B240" s="64"/>
    </row>
    <row customHeight="1" ht="11.25">
      <c r="A241" s="64"/>
      <c r="B241" s="64"/>
    </row>
    <row customHeight="1" ht="11.25">
      <c r="A242" s="64"/>
      <c r="B242" s="64"/>
    </row>
    <row customHeight="1" ht="11.25">
      <c r="A243" s="64"/>
      <c r="B243" s="64"/>
    </row>
    <row customHeight="1" ht="11.25">
      <c r="A244" s="64"/>
      <c r="B244" s="64"/>
    </row>
    <row customHeight="1" ht="11.25">
      <c r="A245" s="64"/>
      <c r="B245" s="64"/>
    </row>
    <row customHeight="1" ht="11.25">
      <c r="A246" s="64"/>
      <c r="B246" s="64"/>
    </row>
    <row customHeight="1" ht="11.25">
      <c r="A247" s="64"/>
      <c r="B247" s="64"/>
    </row>
    <row customHeight="1" ht="11.25">
      <c r="A248" s="64"/>
      <c r="B248" s="64"/>
    </row>
    <row customHeight="1" ht="11.25">
      <c r="A249" s="64"/>
      <c r="B249" s="64"/>
    </row>
    <row customHeight="1" ht="11.25">
      <c r="A250" s="64"/>
      <c r="B250" s="64"/>
    </row>
    <row customHeight="1" ht="11.25">
      <c r="A251" s="64"/>
      <c r="B251" s="64"/>
    </row>
    <row customHeight="1" ht="11.25">
      <c r="A252" s="64"/>
      <c r="B252" s="64"/>
    </row>
    <row customHeight="1" ht="11.25">
      <c r="A253" s="64"/>
      <c r="B253" s="64"/>
    </row>
  </sheetData>
  <sheetProtection formatColumns="0" formatRows="0" sort="0" autoFilter="0" insertRows="0" insertColumns="1" deleteRows="0" deleteColumns="0"/>
  <pageMargins left="0.75" right="0.75" top="1.00" bottom="1.00" header="0.50" footer="0.50"/>
  <pageSetup paperSize="9" pageOrder="downThenOver" orientation="portrait"/>
  <headerFooter>
    <oddHeader>&amp;L&amp;C&amp;R</oddHeader>
    <oddFooter>&amp;L&amp;C&amp;R</oddFooter>
    <evenHeader>&amp;L&amp;C&amp;R</evenHeader>
    <evenFooter>&amp;L&amp;C&amp;R</evenFooter>
  </headerFooter>
</worksheet>
</file>

<file path=xl/worksheets/sheet8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4DCC06D-54B8-EA13-7F2F-BED1D333233B}" mc:Ignorable="x14ac xr xr2 xr3">
  <sheetPr>
    <tabColor rgb="FFFFCC99"/>
  </sheetPr>
  <dimension ref="A1:D36"/>
  <sheetViews>
    <sheetView topLeftCell="A1" showGridLines="0" workbookViewId="0">
      <selection activeCell="A1" sqref="A1"/>
    </sheetView>
  </sheetViews>
  <sheetFormatPr defaultColWidth="9.140625" customHeight="1" defaultRowHeight="11.25"/>
  <cols>
    <col min="1" max="1" style="1850" width="3.7109375" customWidth="1"/>
    <col min="2" max="2" style="1850" width="90.7109375" customWidth="1"/>
    <col min="3" max="4" style="1850" width="9.140625"/>
  </cols>
  <sheetData>
    <row customHeight="1" ht="11.25">
      <c r="B1" s="93" t="s">
        <v>3751</v>
      </c>
    </row>
    <row customHeight="1" ht="90">
      <c r="B2" s="94" t="s">
        <v>3752</v>
      </c>
    </row>
    <row customHeight="1" ht="67.5">
      <c r="B3" s="94" t="s">
        <v>3753</v>
      </c>
    </row>
    <row customHeight="1" ht="33.75">
      <c r="B4" s="94" t="s">
        <v>3754</v>
      </c>
    </row>
    <row customHeight="1" ht="11.25">
      <c r="B5" s="94" t="s">
        <v>3755</v>
      </c>
    </row>
    <row customHeight="1" ht="22.5">
      <c r="B6" s="94" t="s">
        <v>3756</v>
      </c>
    </row>
    <row customHeight="1" ht="22.5">
      <c r="B7" s="94" t="s">
        <v>3757</v>
      </c>
    </row>
    <row customHeight="1" ht="22.5">
      <c r="B8" s="94" t="s">
        <v>3758</v>
      </c>
    </row>
    <row customHeight="1" ht="22.5">
      <c r="B9" s="94" t="s">
        <v>3759</v>
      </c>
    </row>
    <row customHeight="1" ht="56.25">
      <c r="B10" s="94" t="s">
        <v>3760</v>
      </c>
    </row>
    <row customHeight="1" ht="12.75">
      <c r="B11" s="159" t="s">
        <v>3761</v>
      </c>
    </row>
    <row customHeight="1" ht="11.25">
      <c r="B12" s="93" t="s">
        <v>3762</v>
      </c>
    </row>
    <row customHeight="1" ht="22.5">
      <c r="B13" s="94" t="s">
        <v>3763</v>
      </c>
    </row>
    <row customHeight="1" ht="67.5">
      <c r="B14" s="94" t="s">
        <v>3764</v>
      </c>
    </row>
    <row customHeight="1" ht="22.5">
      <c r="B15" s="94" t="s">
        <v>3765</v>
      </c>
    </row>
    <row customHeight="1" ht="11.25">
      <c r="B16" s="93" t="s">
        <v>3766</v>
      </c>
      <c r="D16" s="100"/>
    </row>
    <row customHeight="1" ht="33.75">
      <c r="B17" s="94" t="s">
        <v>3767</v>
      </c>
    </row>
    <row customHeight="1" ht="33.75">
      <c r="B18" s="94" t="s">
        <v>3768</v>
      </c>
    </row>
    <row customHeight="1" ht="11.25">
      <c r="B19" s="94" t="s">
        <v>3769</v>
      </c>
    </row>
    <row customHeight="1" ht="33.75">
      <c r="B20" s="94" t="s">
        <v>3770</v>
      </c>
    </row>
    <row customHeight="1" ht="11.25">
      <c r="B21" s="93" t="s">
        <v>3771</v>
      </c>
    </row>
    <row customHeight="1" ht="11.25">
      <c r="B22" s="94" t="s">
        <v>3772</v>
      </c>
    </row>
    <row r="24" customHeight="1" ht="22.5">
      <c r="B24" s="161" t="s">
        <v>3773</v>
      </c>
    </row>
    <row r="26" customHeight="1" ht="11.25">
      <c r="B26" s="93" t="s">
        <v>3774</v>
      </c>
    </row>
    <row customHeight="1" ht="22.5">
      <c r="B27" s="160" t="s">
        <v>398</v>
      </c>
    </row>
    <row customHeight="1" ht="56.25">
      <c r="B28" s="160" t="s">
        <v>3775</v>
      </c>
    </row>
    <row customHeight="1" ht="11.25">
      <c r="B29" s="210" t="s">
        <v>3776</v>
      </c>
    </row>
    <row customHeight="1" ht="22.5">
      <c r="B30" s="160" t="s">
        <v>3777</v>
      </c>
    </row>
    <row r="32" customHeight="1" ht="11.25">
      <c r="A32" s="188"/>
      <c r="B32" s="189" t="s">
        <v>3778</v>
      </c>
    </row>
    <row customHeight="1" ht="14.25">
      <c r="A33" s="190">
        <v>1</v>
      </c>
      <c r="B33" s="191" t="s">
        <v>3779</v>
      </c>
    </row>
    <row customHeight="1" ht="14.25">
      <c r="A34" s="190">
        <v>2</v>
      </c>
      <c r="B34" s="191" t="s">
        <v>3780</v>
      </c>
    </row>
    <row customHeight="1" ht="11.25">
      <c r="B35" s="189" t="s">
        <v>3781</v>
      </c>
    </row>
    <row customHeight="1" ht="11.25">
      <c r="B36" s="191" t="s">
        <v>3782</v>
      </c>
    </row>
  </sheetData>
  <sheetProtection sort="0" autoFilter="0" insertRows="0" insertColumns="1" deleteRows="0" deleteColumns="0"/>
  <pageMargins left="0.75" right="0.75" top="1.00" bottom="1.00" header="0.50" footer="0.50"/>
  <pageSetup paperSize="9" pageOrder="downThenOver" orientation="portrait"/>
  <headerFooter>
    <oddHeader>&amp;L&amp;C&amp;R</oddHeader>
    <oddFooter>&amp;L&amp;C&amp;R</oddFooter>
    <evenHeader>&amp;L&amp;C&amp;R</evenHeader>
    <evenFooter>&amp;L&amp;C&amp;R</even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5F30685-0C3B-19A4-2B6C-BC3A2AD2C46A}" mc:Ignorable="x14ac xr xr2 xr3">
  <sheetPr>
    <tabColor theme="3" tint="0.6"/>
  </sheetPr>
  <dimension ref="A1:V18"/>
  <sheetViews>
    <sheetView showGridLines="0" zoomScale="90" workbookViewId="0">
      <pane xSplit="4" ySplit="13" topLeftCell="E14" activePane="bottomRight" state="frozen"/>
      <selection pane="bottomLeft" activeCell="A14" sqref="A14"/>
      <selection pane="topRight" activeCell="E1" sqref="E1"/>
      <selection pane="bottomRight" activeCell="A1" sqref="A1"/>
    </sheetView>
  </sheetViews>
  <sheetFormatPr defaultColWidth="10.57421875" customHeight="1" defaultRowHeight="14.25"/>
  <cols>
    <col min="1" max="1" style="1632" width="9.140625" hidden="1" customWidth="1"/>
    <col min="2" max="2" style="1635" width="9.140625" hidden="1" customWidth="1"/>
    <col min="3" max="3" style="1842" width="3.00390625" customWidth="1"/>
    <col min="4" max="4" style="1635" width="5.00390625" customWidth="1"/>
    <col min="5" max="5" style="1635" width="38.00390625" customWidth="1"/>
    <col min="6" max="7" style="1635" width="3.00390625" customWidth="1"/>
    <col min="8" max="8" style="1635" width="38.00390625" customWidth="1"/>
    <col min="9" max="9" style="1635" width="35.00390625" customWidth="1"/>
    <col min="10" max="10" style="1635" width="103.00390625" customWidth="1"/>
    <col min="11" max="11" style="1819" width="3.00390625" customWidth="1"/>
    <col min="12" max="14" style="1642" width="10.00390625" customWidth="1"/>
    <col min="15" max="15" style="1642" width="13.00390625" customWidth="1"/>
    <col min="16" max="16" style="1642" width="15.00390625" customWidth="1"/>
    <col min="17" max="17" style="1642" width="16.00390625" customWidth="1"/>
    <col min="18" max="21" style="1642" width="10.00390625" customWidth="1"/>
    <col min="22" max="22" style="1635" width="10.57421875" hidden="1"/>
  </cols>
  <sheetData>
    <row customHeight="1" ht="22.5" hidden="1">
      <c r="E1" s="412"/>
      <c r="F1" s="412"/>
      <c r="G1" s="412"/>
      <c r="H1" s="2217" t="s">
        <v>354</v>
      </c>
      <c r="I1" s="2217"/>
      <c r="V1" s="1607" t="s">
        <v>14</v>
      </c>
    </row>
    <row s="1635" customFormat="1" customHeight="1" ht="14.25" hidden="1">
      <c r="C2" s="1619"/>
      <c r="D2" s="2233" t="s">
        <v>109</v>
      </c>
      <c r="E2" s="2235"/>
      <c r="F2" s="1625"/>
      <c r="G2" s="1620" t="s">
        <v>109</v>
      </c>
      <c r="H2" s="1623"/>
      <c r="I2" s="1621"/>
      <c r="L2" s="1622"/>
      <c r="M2" s="1622"/>
      <c r="N2" s="1622"/>
      <c r="O2" s="1622" t="s">
        <v>384</v>
      </c>
      <c r="P2" s="1622"/>
      <c r="Q2" s="1622"/>
      <c r="R2" s="1624" t="s">
        <v>383</v>
      </c>
      <c r="S2" s="1624" t="s">
        <v>383</v>
      </c>
      <c r="T2" s="1622"/>
      <c r="U2" s="1622"/>
      <c r="V2" s="1618">
        <v>0</v>
      </c>
    </row>
    <row s="1635" customFormat="1" customHeight="1" ht="14.25" hidden="1">
      <c r="C3" s="1619"/>
      <c r="D3" s="2234"/>
      <c r="E3" s="2236"/>
      <c r="F3" s="405"/>
      <c r="G3" s="869"/>
      <c r="H3" s="869" t="s">
        <v>385</v>
      </c>
      <c r="I3" s="313"/>
      <c r="L3" s="1622"/>
      <c r="M3" s="1622"/>
      <c r="N3" s="1622"/>
      <c r="O3" s="1622"/>
      <c r="P3" s="1622"/>
      <c r="Q3" s="1622"/>
      <c r="R3" s="1624"/>
      <c r="S3" s="1624"/>
      <c r="T3" s="1622"/>
      <c r="U3" s="1622"/>
      <c r="V3" s="1618">
        <v>0</v>
      </c>
    </row>
    <row customHeight="1" ht="14.25" hidden="1">
      <c r="V4" s="1607">
        <v>0</v>
      </c>
    </row>
    <row s="1613" customFormat="1" customHeight="1" ht="5.25">
      <c r="C5" s="701"/>
      <c r="D5" s="702"/>
      <c r="E5" s="702"/>
      <c r="F5" s="702"/>
      <c r="G5" s="702"/>
      <c r="H5" s="702" t="s">
        <v>358</v>
      </c>
      <c r="I5" s="702"/>
      <c r="J5" s="702"/>
      <c r="L5" s="1614"/>
      <c r="M5" s="1614"/>
      <c r="N5" s="1614"/>
      <c r="O5" s="1614"/>
      <c r="P5" s="1614"/>
      <c r="Q5" s="1614"/>
      <c r="R5" s="1614"/>
      <c r="S5" s="1614"/>
      <c r="T5" s="1614"/>
      <c r="U5" s="1614"/>
      <c r="V5" s="1613">
        <v>5</v>
      </c>
    </row>
    <row customHeight="1" ht="29.25">
      <c r="C6" s="1516"/>
      <c r="D6" s="2237" t="s">
        <v>386</v>
      </c>
      <c r="E6" s="2237"/>
      <c r="F6" s="2237"/>
      <c r="G6" s="2237"/>
      <c r="H6" s="2237"/>
      <c r="I6" s="2237"/>
      <c r="J6" s="491"/>
      <c r="K6" s="1615"/>
      <c r="V6" s="1607">
        <v>28</v>
      </c>
    </row>
    <row customHeight="1" ht="18">
      <c r="C7" s="1516"/>
      <c r="D7" s="2176" t="str">
        <f>IF(org=0,"Не определено",org)</f>
        <v>ПАО "ОГК-2"</v>
      </c>
      <c r="E7" s="2176"/>
      <c r="F7" s="2176"/>
      <c r="G7" s="2176"/>
      <c r="H7" s="2176"/>
      <c r="I7" s="2176"/>
      <c r="J7" s="491"/>
      <c r="K7" s="1615"/>
      <c r="V7" s="1607">
        <v>17</v>
      </c>
    </row>
    <row s="1612" customFormat="1" customHeight="1" ht="5.25">
      <c r="A8" s="1611"/>
      <c r="C8" s="486"/>
      <c r="D8" s="485"/>
      <c r="E8" s="485"/>
      <c r="F8" s="485"/>
      <c r="G8" s="485"/>
      <c r="H8" s="485"/>
      <c r="I8" s="485"/>
      <c r="J8" s="485"/>
      <c r="L8" s="1614"/>
      <c r="M8" s="1614"/>
      <c r="N8" s="1614"/>
      <c r="O8" s="1614"/>
      <c r="P8" s="1614"/>
      <c r="Q8" s="1614"/>
      <c r="R8" s="1614"/>
      <c r="S8" s="1614"/>
      <c r="T8" s="1614"/>
      <c r="U8" s="1614"/>
      <c r="V8" s="1612">
        <v>5</v>
      </c>
    </row>
    <row s="1612" customFormat="1" customHeight="1" ht="5.25">
      <c r="A9" s="1611"/>
      <c r="C9" s="486"/>
      <c r="D9" s="485"/>
      <c r="E9" s="485"/>
      <c r="F9" s="485"/>
      <c r="G9" s="485"/>
      <c r="H9" s="485"/>
      <c r="I9" s="485"/>
      <c r="J9" s="485"/>
      <c r="L9" s="1622"/>
      <c r="M9" s="1622"/>
      <c r="N9" s="1622"/>
      <c r="O9" s="1622"/>
      <c r="P9" s="1622"/>
      <c r="Q9" s="1622"/>
      <c r="R9" s="1622"/>
      <c r="S9" s="1622"/>
      <c r="T9" s="1622"/>
      <c r="U9" s="1622"/>
      <c r="V9" s="1612">
        <v>5</v>
      </c>
    </row>
    <row customHeight="1" ht="14.699999999999998">
      <c r="C10" s="1516"/>
      <c r="D10" s="2218" t="s">
        <v>302</v>
      </c>
      <c r="E10" s="2219"/>
      <c r="F10" s="2219"/>
      <c r="G10" s="2219"/>
      <c r="H10" s="2219"/>
      <c r="I10" s="2219"/>
      <c r="J10" s="2223" t="s">
        <v>303</v>
      </c>
      <c r="V10" s="1607">
        <v>14</v>
      </c>
    </row>
    <row customHeight="1" ht="27.299999999999997">
      <c r="C11" s="1516"/>
      <c r="D11" s="2127" t="s">
        <v>88</v>
      </c>
      <c r="E11" s="2223" t="s">
        <v>105</v>
      </c>
      <c r="F11" s="2192" t="s">
        <v>88</v>
      </c>
      <c r="G11" s="2193"/>
      <c r="H11" s="2175" t="s">
        <v>387</v>
      </c>
      <c r="I11" s="2175" t="s">
        <v>388</v>
      </c>
      <c r="J11" s="2223"/>
      <c r="V11" s="1607">
        <v>26</v>
      </c>
    </row>
    <row customHeight="1" ht="14.699999999999998">
      <c r="C12" s="1516"/>
      <c r="D12" s="2127"/>
      <c r="E12" s="2223"/>
      <c r="F12" s="2200"/>
      <c r="G12" s="2201"/>
      <c r="H12" s="2232"/>
      <c r="I12" s="2232"/>
      <c r="J12" s="2223"/>
      <c r="V12" s="1607">
        <v>14</v>
      </c>
    </row>
    <row s="1641" customFormat="1" customHeight="1" ht="11.25" hidden="1">
      <c r="C13" s="498"/>
      <c r="D13" s="499" t="s">
        <v>378</v>
      </c>
      <c r="E13" s="499"/>
      <c r="F13" s="499"/>
      <c r="G13" s="499"/>
      <c r="H13" s="497"/>
      <c r="I13" s="497"/>
      <c r="J13" s="435"/>
      <c r="L13" s="1614"/>
      <c r="M13" s="1614"/>
      <c r="N13" s="1614"/>
      <c r="O13" s="1614"/>
      <c r="P13" s="1614"/>
      <c r="Q13" s="1614"/>
      <c r="R13" s="1614"/>
      <c r="S13" s="1614"/>
      <c r="T13" s="1614"/>
      <c r="U13" s="1614"/>
      <c r="V13" s="496">
        <v>0</v>
      </c>
    </row>
    <row customHeight="1" ht="14.699999999999998">
      <c r="A14" s="1607"/>
      <c r="C14" s="1516"/>
      <c r="D14" s="2233" t="s">
        <v>109</v>
      </c>
      <c r="E14" s="2235"/>
      <c r="F14" s="1617"/>
      <c r="G14" s="1616" t="s">
        <v>109</v>
      </c>
      <c r="H14" s="1623"/>
      <c r="I14" s="1621"/>
      <c r="J14" s="2169" t="s">
        <v>389</v>
      </c>
      <c r="K14" s="1607"/>
      <c r="R14" s="500" t="s">
        <v>383</v>
      </c>
      <c r="S14" s="500" t="s">
        <v>383</v>
      </c>
      <c r="V14" s="1607">
        <v>14</v>
      </c>
    </row>
    <row customHeight="1" ht="14.699999999999998">
      <c r="A15" s="1607"/>
      <c r="C15" s="1516"/>
      <c r="D15" s="2234"/>
      <c r="E15" s="2236"/>
      <c r="F15" s="405"/>
      <c r="G15" s="869"/>
      <c r="H15" s="869" t="s">
        <v>385</v>
      </c>
      <c r="I15" s="313"/>
      <c r="J15" s="2170"/>
      <c r="K15" s="1607"/>
      <c r="R15" s="500"/>
      <c r="S15" s="500"/>
      <c r="V15" s="1607">
        <v>14</v>
      </c>
    </row>
    <row customHeight="1" ht="14.699999999999998">
      <c r="A16" s="1607"/>
      <c r="C16" s="1516"/>
      <c r="D16" s="405"/>
      <c r="E16" s="869" t="s">
        <v>125</v>
      </c>
      <c r="F16" s="313"/>
      <c r="G16" s="313"/>
      <c r="H16" s="406"/>
      <c r="I16" s="406"/>
      <c r="J16" s="2171"/>
      <c r="K16" s="1607"/>
      <c r="V16" s="1607">
        <v>14</v>
      </c>
    </row>
    <row customHeight="1" ht="14.699999999999998">
      <c r="K17" s="1607"/>
      <c r="V17" s="1607">
        <v>14</v>
      </c>
    </row>
    <row customHeight="1" ht="22.5" hidden="1">
      <c r="A18" s="1608" t="s">
        <v>82</v>
      </c>
      <c r="B18" s="1607">
        <v>0</v>
      </c>
      <c r="C18" s="451">
        <v>3</v>
      </c>
      <c r="D18" s="1607">
        <v>5</v>
      </c>
      <c r="E18" s="1607">
        <v>38</v>
      </c>
      <c r="F18" s="1607">
        <v>3</v>
      </c>
      <c r="G18" s="1607">
        <v>3</v>
      </c>
      <c r="H18" s="1607">
        <v>38</v>
      </c>
      <c r="I18" s="1607">
        <v>35</v>
      </c>
      <c r="J18" s="1607">
        <v>103</v>
      </c>
      <c r="K18" s="1609">
        <v>3</v>
      </c>
      <c r="L18" s="1614">
        <v>10</v>
      </c>
      <c r="M18" s="1614">
        <v>10</v>
      </c>
      <c r="N18" s="1614">
        <v>10</v>
      </c>
      <c r="O18" s="1614">
        <v>13</v>
      </c>
      <c r="P18" s="1614">
        <v>15</v>
      </c>
      <c r="Q18" s="1614">
        <v>16</v>
      </c>
      <c r="R18" s="1614">
        <v>10</v>
      </c>
      <c r="S18" s="1614">
        <v>10</v>
      </c>
      <c r="T18" s="1614">
        <v>10</v>
      </c>
      <c r="U18" s="1614">
        <v>10</v>
      </c>
      <c r="V18" s="1607">
        <v>23</v>
      </c>
    </row>
  </sheetData>
  <sheetProtection formatColumns="0" formatRows="0" autoFilter="0" sort="0" insertRows="0" insertColumns="1" deleteRows="0" deleteColumns="0"/>
  <mergeCells count="15">
    <mergeCell ref="H1:I1"/>
    <mergeCell ref="D6:I6"/>
    <mergeCell ref="D7:I7"/>
    <mergeCell ref="D2:D3"/>
    <mergeCell ref="E2:E3"/>
    <mergeCell ref="J14:J16"/>
    <mergeCell ref="D10:I10"/>
    <mergeCell ref="J10:J12"/>
    <mergeCell ref="D11:D12"/>
    <mergeCell ref="E11:E12"/>
    <mergeCell ref="F11:G12"/>
    <mergeCell ref="H11:H12"/>
    <mergeCell ref="I11:I12"/>
    <mergeCell ref="D14:D15"/>
    <mergeCell ref="E14:E15"/>
  </mergeCells>
  <dataValidations count="5">
    <dataValidation type="whole" allowBlank="1" showErrorMessage="1" errorTitle="Ошибка" error="Допускается ввод только неотрицательных целых чисел!" sqref="I14 I2">
      <formula1>0</formula1>
      <formula2>9.99999999999999E+23</formula2>
    </dataValidation>
    <dataValidation allowBlank="1" showInputMessage="1" showErrorMessage="1" prompt="Выберите один или несколько одновременно видов деятельности, выполнив последовательно по одному щелчку на строке с видом деятельности" sqref="E14 E2"/>
    <dataValidation type="decimal" allowBlank="1" showErrorMessage="1" errorTitle="Ошибка" error="Допускается ввод только неотрицательных чисел!" sqref="H13:I13">
      <formula1>0</formula1>
      <formula2>9.99999999999999E+23</formula2>
    </dataValidation>
    <dataValidation allowBlank="1" showErrorMessage="1" errorTitle="Ошибка" error="Допускается ввод только неотрицательных чисел!" sqref="E13:G13"/>
    <dataValidation type="textLength" operator="lessThanOrEqual" allowBlank="1" showInputMessage="1" showErrorMessage="1" errorTitle="Ошибка" error="Допускается ввод не более 900 символов!" sqref="H14 H2">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Листы</vt:lpstr>
      </vt:variant>
      <vt:variant>
        <vt:i4>1</vt:i4>
      </vt:variant>
      <vt:variant>
        <vt:lpstr>Именованные диапазоны</vt:lpstr>
      </vt:variant>
      <vt:variant>
        <vt:i4>2199</vt:i4>
      </vt:variant>
    </vt:vector>
  </HeadingPairs>
  <TitlesOfParts>
    <vt:vector size="2200" baseType="lpstr">
      <vt:lpstr>Инструкция</vt:lpstr>
      <vt:lpstr>B_FHD_CHECK_INDEX_1</vt:lpstr>
      <vt:lpstr>B_FHD_CHECK_INDEX_2</vt:lpstr>
      <vt:lpstr>B_FHD_COSTS_INDEX_1</vt:lpstr>
      <vt:lpstr>B_FHD_COSTS_INDEX_2</vt:lpstr>
      <vt:lpstr>B_FHD_DATA_TOP80_ACTIVITY</vt:lpstr>
      <vt:lpstr>B_FHD_diff_1</vt:lpstr>
      <vt:lpstr>B_FHD_FLAG_DIFFERENTIATION</vt:lpstr>
      <vt:lpstr>B_FHD_FLAG_INDEX_1</vt:lpstr>
      <vt:lpstr>B_FHD_FLAG_INDEX_2</vt:lpstr>
      <vt:lpstr>B_FHD_TKO_DATA_TOP80_ACTIVITY</vt:lpstr>
      <vt:lpstr>B_FHD_TKO_diff_1</vt:lpstr>
      <vt:lpstr>B_FHD_TKO_FLAG_DIFFERENTIATION</vt:lpstr>
      <vt:lpstr>B_FHD_TKO_TRANS_DATA_TOP80_ACTIVITY</vt:lpstr>
      <vt:lpstr>B_FHD_TKO_TRANS_diff_1</vt:lpstr>
      <vt:lpstr>B_FHD_TKO_TRANS_FLAG_DIFFERENTIATION</vt:lpstr>
      <vt:lpstr>B_FHD20_ADD_HL_2_COLUMN_MARKER</vt:lpstr>
      <vt:lpstr>B_FHD20_ADD_HL_3_COLUMN_MARKER</vt:lpstr>
      <vt:lpstr>B_FHD20_ADD_HL_4_COLUMN_MARKER</vt:lpstr>
      <vt:lpstr>B_FHD20_ALL_DATA</vt:lpstr>
      <vt:lpstr>B_FHD20_COSTS_OPS_diff_1</vt:lpstr>
      <vt:lpstr>B_FHD20_COSTS_PH_diff_1</vt:lpstr>
      <vt:lpstr>B_FHD20_DEL_HL_2_COLUMN_MARKER</vt:lpstr>
      <vt:lpstr>B_FHD20_DEL_HL_3_COLUMN_MARKER</vt:lpstr>
      <vt:lpstr>B_FHD20_DEL_HL_4_COLUMN_MARKER</vt:lpstr>
      <vt:lpstr>B_FHD20_diff_1</vt:lpstr>
      <vt:lpstr>B_FHD20_FLAG_FHD</vt:lpstr>
      <vt:lpstr>B_FHD20_NUMBER_COLUMN_MARKER</vt:lpstr>
      <vt:lpstr>B_FHD20_PART_COLUMN_MARKER</vt:lpstr>
      <vt:lpstr>B_KNE_diff_1</vt:lpstr>
      <vt:lpstr>B_OTEP_diff_1</vt:lpstr>
      <vt:lpstr>B_OTEP_FLAG_DIFFERENTIATION</vt:lpstr>
      <vt:lpstr>B_OTEP_HEAT_DATA_TOP80_ACTIVITY</vt:lpstr>
      <vt:lpstr>BLOCK_BALANCE_INDICATORS</vt:lpstr>
      <vt:lpstr>BLOCK_BALANCE_TKO_FLAG_TRANS</vt:lpstr>
      <vt:lpstr>BLOCK_CONNECTION_STATE</vt:lpstr>
      <vt:lpstr>BLOCK_DIFF_CS</vt:lpstr>
      <vt:lpstr>BLOCK_DIFFERENTIATION_NOT_TKO</vt:lpstr>
      <vt:lpstr>BLOCK_FIRST_TARIFF</vt:lpstr>
      <vt:lpstr>BLOCK_FIRST_TARIFF_OREG_PUBL</vt:lpstr>
      <vt:lpstr>BLOCK_IP_DETAILED_FACT_IST_FIN</vt:lpstr>
      <vt:lpstr>BLOCK_IP_DETAILED_FACT_PERIOD_EVENT</vt:lpstr>
      <vt:lpstr>BLOCK_MAIN_INFO_HEAT</vt:lpstr>
      <vt:lpstr>BLOCK_MAIN_INFO_NOT_TKO</vt:lpstr>
      <vt:lpstr>BLOCK_MAIN_INFO_OBJECT_COLDVSNA</vt:lpstr>
      <vt:lpstr>BLOCK_MAIN_INFO_OBJECT_COMM_COLDVSNA</vt:lpstr>
      <vt:lpstr>BLOCK_MAIN_INFO_OBJECT_COMM_HEAT</vt:lpstr>
      <vt:lpstr>BLOCK_MAIN_INFO_OBJECT_COMM_HOTVSNA</vt:lpstr>
      <vt:lpstr>BLOCK_MAIN_INFO_OBJECT_COMM_VOTV</vt:lpstr>
      <vt:lpstr>BLOCK_MAIN_INFO_OBJECT_HEAT</vt:lpstr>
      <vt:lpstr>BLOCK_MAIN_INFO_OBJECT_HOTVSNA</vt:lpstr>
      <vt:lpstr>BLOCK_MAIN_INFO_OBJECT_VOTV</vt:lpstr>
      <vt:lpstr>BLOCK_NOT_ROIV_INDICATORS_1</vt:lpstr>
      <vt:lpstr>BLOCK_NOT_ROIV_INDICATORS_2</vt:lpstr>
      <vt:lpstr>BLOCK_NOT_ROIV_INDICATORS_3</vt:lpstr>
      <vt:lpstr>BLOCK_NOTE_P_TARIFF_A</vt:lpstr>
      <vt:lpstr>BLOCK_NOTE_P_TARIFF_A_COLDVSNA</vt:lpstr>
      <vt:lpstr>BLOCK_NOTE_P_TARIFF_A_HOTVSNA</vt:lpstr>
      <vt:lpstr>BLOCK_NOTE_P_TARIFF_A_VOTV</vt:lpstr>
      <vt:lpstr>BLOCK_NOTE_P_TARIFF_B</vt:lpstr>
      <vt:lpstr>BLOCK_NOTE_P_TARIFF_B_COLDVSNA</vt:lpstr>
      <vt:lpstr>BLOCK_NOTE_P_TARIFF_B_HOTVSNA</vt:lpstr>
      <vt:lpstr>BLOCK_NOTE_P_TARIFF_B_VOTV</vt:lpstr>
      <vt:lpstr>BLOCK_NOTE_P_TARIFF_C</vt:lpstr>
      <vt:lpstr>BLOCK_NOTE_P_TARIFF_C_COLDVSNA</vt:lpstr>
      <vt:lpstr>BLOCK_NOTE_P_TARIFF_C_HOTVSNA</vt:lpstr>
      <vt:lpstr>BLOCK_NOTE_P_TARIFF_C_VOTV</vt:lpstr>
      <vt:lpstr>BLOCK_NOTE_P_TARIFF_D</vt:lpstr>
      <vt:lpstr>BLOCK_NOTE_P_TARIFF_D_COLDVSNA</vt:lpstr>
      <vt:lpstr>BLOCK_NOTE_P_TARIFF_E_COLDVSNA</vt:lpstr>
      <vt:lpstr>BLOCK_NOTE_P_TARIFF_E1</vt:lpstr>
      <vt:lpstr>BLOCK_NOTE_P_TARIFF_E2</vt:lpstr>
      <vt:lpstr>BLOCK_NOTE_P_TARIFF_F</vt:lpstr>
      <vt:lpstr>BLOCK_NOTE_P_TARIFF_G</vt:lpstr>
      <vt:lpstr>BLOCK_NOTE_P_TARIFF_H</vt:lpstr>
      <vt:lpstr>BLOCK_NOTE_P_TARIFF_I</vt:lpstr>
      <vt:lpstr>BLOCK_NOTE_P_TARIFF_I_1</vt:lpstr>
      <vt:lpstr>BLOCK_NOTE_R_TARIFF_A</vt:lpstr>
      <vt:lpstr>BLOCK_NOTE_R_TARIFF_A_COLDVSNA</vt:lpstr>
      <vt:lpstr>BLOCK_NOTE_R_TARIFF_A_HOTVSNA</vt:lpstr>
      <vt:lpstr>BLOCK_NOTE_R_TARIFF_A_VOTV</vt:lpstr>
      <vt:lpstr>BLOCK_NOTE_R_TARIFF_B</vt:lpstr>
      <vt:lpstr>BLOCK_NOTE_R_TARIFF_B_COLDVSNA</vt:lpstr>
      <vt:lpstr>BLOCK_NOTE_R_TARIFF_B_HOTVSNA</vt:lpstr>
      <vt:lpstr>BLOCK_NOTE_R_TARIFF_B_VOTV</vt:lpstr>
      <vt:lpstr>BLOCK_NOTE_R_TARIFF_C</vt:lpstr>
      <vt:lpstr>BLOCK_NOTE_R_TARIFF_C_COLDVSNA</vt:lpstr>
      <vt:lpstr>BLOCK_NOTE_R_TARIFF_C_HOTVSNA</vt:lpstr>
      <vt:lpstr>BLOCK_NOTE_R_TARIFF_C_VOTV</vt:lpstr>
      <vt:lpstr>BLOCK_NOTE_R_TARIFF_D</vt:lpstr>
      <vt:lpstr>BLOCK_NOTE_R_TARIFF_D_COLDVSNA</vt:lpstr>
      <vt:lpstr>BLOCK_NOTE_R_TARIFF_E_COLDVSNA</vt:lpstr>
      <vt:lpstr>BLOCK_NOTE_R_TARIFF_E1</vt:lpstr>
      <vt:lpstr>BLOCK_NOTE_R_TARIFF_E2</vt:lpstr>
      <vt:lpstr>BLOCK_NOTE_R_TARIFF_F</vt:lpstr>
      <vt:lpstr>BLOCK_NOTE_R_TARIFF_G</vt:lpstr>
      <vt:lpstr>BLOCK_NOTE_R_TARIFF_H</vt:lpstr>
      <vt:lpstr>BLOCK_NOTE_R_TARIFF_I</vt:lpstr>
      <vt:lpstr>BLOCK_NOTE_R_TARIFF_I_1</vt:lpstr>
      <vt:lpstr>BLOCK_PERIOD_DATA</vt:lpstr>
      <vt:lpstr>BLOCK_PERIOD_QUARTER</vt:lpstr>
      <vt:lpstr>BLOCK_PERIOD_TWO_DATA</vt:lpstr>
      <vt:lpstr>BLOCK_PERIOD_YEAR</vt:lpstr>
      <vt:lpstr>BLOCK_POK_FHD_COLDVSNA_P1</vt:lpstr>
      <vt:lpstr>BLOCK_POK_FHD_COLDVSNA_P2</vt:lpstr>
      <vt:lpstr>BLOCK_POK_FHD_HEAT_ONLY_REG_ORG_P1</vt:lpstr>
      <vt:lpstr>BLOCK_POK_FHD_HEAT_ONLY_REG_ORG_P2</vt:lpstr>
      <vt:lpstr>BLOCK_POK_FHD_HEAT_P1</vt:lpstr>
      <vt:lpstr>BLOCK_POK_FHD_HEAT_P2</vt:lpstr>
      <vt:lpstr>BLOCK_POK_FHD_HEAT_P3</vt:lpstr>
      <vt:lpstr>BLOCK_POK_FHD_HEAT_P4</vt:lpstr>
      <vt:lpstr>BLOCK_POK_FHD_HEAT_P5</vt:lpstr>
      <vt:lpstr>BLOCK_POK_FHD_HEAT_P6</vt:lpstr>
      <vt:lpstr>BLOCK_POK_FHD_HOTVSNA_P1</vt:lpstr>
      <vt:lpstr>BLOCK_POK_FHD_HOTVSNA_P2</vt:lpstr>
      <vt:lpstr>BLOCK_POK_FHD_NOT_HEAT_P1</vt:lpstr>
      <vt:lpstr>BLOCK_POK_FHD_NOT_HEAT_P2</vt:lpstr>
      <vt:lpstr>BLOCK_POK_FHD_NOT_HOTVSNA</vt:lpstr>
      <vt:lpstr>BLOCK_POK_FHD_VOTV_P1</vt:lpstr>
      <vt:lpstr>BLOCK_POK_FHD_VSNA</vt:lpstr>
      <vt:lpstr>BLOCK_POK_FHD20_NOT_HEAT</vt:lpstr>
      <vt:lpstr>BLOCK_POK_KNE_COLDVSNA</vt:lpstr>
      <vt:lpstr>BLOCK_POK_KNE_HEAT</vt:lpstr>
      <vt:lpstr>BLOCK_POK_KNE_HOTVSNA</vt:lpstr>
      <vt:lpstr>BLOCK_POK_KNE_VOTV</vt:lpstr>
      <vt:lpstr>BLOCK_PRICE_INDICATORS_HEAT</vt:lpstr>
      <vt:lpstr>BLOCK_PRICE_INDICATORS_LEVEL</vt:lpstr>
      <vt:lpstr>BLOCK_PRICE_IST_TE</vt:lpstr>
      <vt:lpstr>BLOCK_PRICE_REQUEST</vt:lpstr>
      <vt:lpstr>BLOCK_PT_COLDVSNA</vt:lpstr>
      <vt:lpstr>BLOCK_PT_HEAT</vt:lpstr>
      <vt:lpstr>BLOCK_PT_HEAT_NOT_R</vt:lpstr>
      <vt:lpstr>BLOCK_PT_HEAT_NOT_R_TMP</vt:lpstr>
      <vt:lpstr>BLOCK_PT_HEAT_PHEAT</vt:lpstr>
      <vt:lpstr>BLOCK_PT_HEAT_PHEAT_HIDDEN_FORMULAS</vt:lpstr>
      <vt:lpstr>BLOCK_PT_HEAT_RHEAT</vt:lpstr>
      <vt:lpstr>BLOCK_PT_HEAT_RHEAT_HIDDEN_FORMULAS</vt:lpstr>
      <vt:lpstr>BLOCK_PT_HOTVSNA</vt:lpstr>
      <vt:lpstr>BLOCK_PT_VOTV</vt:lpstr>
      <vt:lpstr>BLOCK_TABLE_P_TARIFF_A</vt:lpstr>
      <vt:lpstr>BLOCK_TABLE_P_TARIFF_A_COLDVSNA</vt:lpstr>
      <vt:lpstr>BLOCK_TABLE_P_TARIFF_A_HOTVSNA</vt:lpstr>
      <vt:lpstr>BLOCK_TABLE_P_TARIFF_A_VOTV</vt:lpstr>
      <vt:lpstr>BLOCK_TABLE_P_TARIFF_B</vt:lpstr>
      <vt:lpstr>BLOCK_TABLE_P_TARIFF_B_COLDVSNA</vt:lpstr>
      <vt:lpstr>BLOCK_TABLE_P_TARIFF_B_HOTVSNA</vt:lpstr>
      <vt:lpstr>BLOCK_TABLE_P_TARIFF_B_VOTV</vt:lpstr>
      <vt:lpstr>BLOCK_TABLE_P_TARIFF_C</vt:lpstr>
      <vt:lpstr>BLOCK_TABLE_P_TARIFF_C_COLDVSNA</vt:lpstr>
      <vt:lpstr>BLOCK_TABLE_P_TARIFF_C_HOTVSNA</vt:lpstr>
      <vt:lpstr>BLOCK_TABLE_P_TARIFF_C_VOTV</vt:lpstr>
      <vt:lpstr>BLOCK_TABLE_P_TARIFF_D</vt:lpstr>
      <vt:lpstr>BLOCK_TABLE_P_TARIFF_D_COLDVSNA</vt:lpstr>
      <vt:lpstr>BLOCK_TABLE_P_TARIFF_E_COLDVSNA</vt:lpstr>
      <vt:lpstr>BLOCK_TABLE_P_TARIFF_E1</vt:lpstr>
      <vt:lpstr>BLOCK_TABLE_P_TARIFF_E2</vt:lpstr>
      <vt:lpstr>BLOCK_TABLE_P_TARIFF_F</vt:lpstr>
      <vt:lpstr>BLOCK_TABLE_P_TARIFF_G</vt:lpstr>
      <vt:lpstr>BLOCK_TABLE_P_TARIFF_H</vt:lpstr>
      <vt:lpstr>BLOCK_TABLE_P_TARIFF_I</vt:lpstr>
      <vt:lpstr>BLOCK_TABLE_P_TARIFF_I_1</vt:lpstr>
      <vt:lpstr>BLOCK_TABLE_R_TARIFF_A</vt:lpstr>
      <vt:lpstr>BLOCK_TABLE_R_TARIFF_A_COLDVSNA</vt:lpstr>
      <vt:lpstr>BLOCK_TABLE_R_TARIFF_A_HOTVSNA</vt:lpstr>
      <vt:lpstr>BLOCK_TABLE_R_TARIFF_A_VOTV</vt:lpstr>
      <vt:lpstr>BLOCK_TABLE_R_TARIFF_B</vt:lpstr>
      <vt:lpstr>BLOCK_TABLE_R_TARIFF_B_COLDVSNA</vt:lpstr>
      <vt:lpstr>BLOCK_TABLE_R_TARIFF_B_HOTVSNA</vt:lpstr>
      <vt:lpstr>BLOCK_TABLE_R_TARIFF_B_VOTV</vt:lpstr>
      <vt:lpstr>BLOCK_TABLE_R_TARIFF_C</vt:lpstr>
      <vt:lpstr>BLOCK_TABLE_R_TARIFF_C_COLDVSNA</vt:lpstr>
      <vt:lpstr>BLOCK_TABLE_R_TARIFF_C_HOTVSNA</vt:lpstr>
      <vt:lpstr>BLOCK_TABLE_R_TARIFF_C_VOTV</vt:lpstr>
      <vt:lpstr>BLOCK_TABLE_R_TARIFF_D</vt:lpstr>
      <vt:lpstr>BLOCK_TABLE_R_TARIFF_D_COLDVSNA</vt:lpstr>
      <vt:lpstr>BLOCK_TABLE_R_TARIFF_E_COLDVSNA</vt:lpstr>
      <vt:lpstr>BLOCK_TABLE_R_TARIFF_E1</vt:lpstr>
      <vt:lpstr>BLOCK_TABLE_R_TARIFF_E2</vt:lpstr>
      <vt:lpstr>BLOCK_TABLE_R_TARIFF_F</vt:lpstr>
      <vt:lpstr>BLOCK_TABLE_R_TARIFF_G</vt:lpstr>
      <vt:lpstr>BLOCK_TABLE_R_TARIFF_H</vt:lpstr>
      <vt:lpstr>BLOCK_TABLE_R_TARIFF_I</vt:lpstr>
      <vt:lpstr>BLOCK_TABLE_R_TARIFF_I_1</vt:lpstr>
      <vt:lpstr>BLOCK_TEMPLATES_INVEST_TIT</vt:lpstr>
      <vt:lpstr>BLOCK_TERMS_HEAT_P1</vt:lpstr>
      <vt:lpstr>BLOCK_TERMS_NOT_TKO_P1</vt:lpstr>
      <vt:lpstr>BLOCK_TERMS_NOT_TKO_P2</vt:lpstr>
      <vt:lpstr>BLOCK_TERMS_TKO_TRANS</vt:lpstr>
      <vt:lpstr>BLOCK_TERRITORY_INFO</vt:lpstr>
      <vt:lpstr>BLOCK_TITLE_ROIV_INFO</vt:lpstr>
      <vt:lpstr>BLOCK_WARM_ORG_TYPE</vt:lpstr>
      <vt:lpstr>checkCell_List01</vt:lpstr>
      <vt:lpstr>checkCell_List07</vt:lpstr>
      <vt:lpstr>CLASS_TKO_LIST</vt:lpstr>
      <vt:lpstr>code</vt:lpstr>
      <vt:lpstr>CodeTemplateList</vt:lpstr>
      <vt:lpstr>COLDVSNA_FIN_SRC_LIST</vt:lpstr>
      <vt:lpstr>COLDVSNA_FIN_SRC_VLD_LIST</vt:lpstr>
      <vt:lpstr>COLDVSNA_IP_EVENT_CI_STAGE_LIST</vt:lpstr>
      <vt:lpstr>COLDVSNA_IP_EVENT_GROUP_LIST</vt:lpstr>
      <vt:lpstr>COLDVSNA_IP_EVENT_SUBGROUP_1_LIST</vt:lpstr>
      <vt:lpstr>COLDVSNA_IP_EVENT_SUBGROUP_3_LIST</vt:lpstr>
      <vt:lpstr>COLDVSNA_IP_EVENT_SUBGROUP_5_LIST</vt:lpstr>
      <vt:lpstr>COLDVSNA_IP_EVENT_TYPE_LIST</vt:lpstr>
      <vt:lpstr>COLDVSNA_PT_VED_ID</vt:lpstr>
      <vt:lpstr>COLDVSNA_PT_VED_NAME</vt:lpstr>
      <vt:lpstr>COLDVSNA_PT_VED_NAME_LIST</vt:lpstr>
      <vt:lpstr>COLDVSNA_TARIFF_A_COLDVSNA_ADD_HL_COLUMN_MARKER</vt:lpstr>
      <vt:lpstr>COLDVSNA_TARIFF_A_COLDVSNA_DEL_HL_DATA_DIFF_COLUMN_MARKER</vt:lpstr>
      <vt:lpstr>COLDVSNA_TARIFF_A_COLDVSNA_DEL_HL_FLAG_DIFF_COLUMN_MARKER</vt:lpstr>
      <vt:lpstr>COLDVSNA_TARIFF_A_COLDVSNA_DEL_HL_GC_COLUMN_MARKER</vt:lpstr>
      <vt:lpstr>COLDVSNA_TARIFF_A_COLDVSNA_DELETE_PERIOD_ROW_MARKER</vt:lpstr>
      <vt:lpstr>COLDVSNA_TARIFF_A_COLDVSNA_FLAG_BLOCK_COLUMN_MARKER</vt:lpstr>
      <vt:lpstr>COLDVSNA_TARIFF_A_COLDVSNA_FLAG_BLOCK_ROW_MARKER</vt:lpstr>
      <vt:lpstr>COLDVSNA_TARIFF_A_COLDVSNA_NUM_CS_COLUMN_MARKER</vt:lpstr>
      <vt:lpstr>COLDVSNA_TARIFF_A_COLDVSNA_NUM_DATA_DIFF_COLUMN_MARKER</vt:lpstr>
      <vt:lpstr>COLDVSNA_TARIFF_A_COLDVSNA_NUM_FLAG_DIFF_COLUMN_MARKER</vt:lpstr>
      <vt:lpstr>COLDVSNA_TARIFF_A_COLDVSNA_NUM_GC_COLUMN_MARKER</vt:lpstr>
      <vt:lpstr>COLDVSNA_TARIFF_A_COLDVSNA_NUM_NTAR_COLUMN_MARKER</vt:lpstr>
      <vt:lpstr>COLDVSNA_TARIFF_A_COLDVSNA_NUM_TER_COLUMN_MARKER</vt:lpstr>
      <vt:lpstr>COLDVSNA_TARIFF_B_COLDVSNA_ADD_HL_COLUMN_MARKER</vt:lpstr>
      <vt:lpstr>COLDVSNA_TARIFF_B_COLDVSNA_DEL_HL_DATA_DIFF_COLUMN_MARKER</vt:lpstr>
      <vt:lpstr>COLDVSNA_TARIFF_B_COLDVSNA_DEL_HL_FLAG_DIFF_COLUMN_MARKER</vt:lpstr>
      <vt:lpstr>COLDVSNA_TARIFF_B_COLDVSNA_DEL_HL_GC_COLUMN_MARKER</vt:lpstr>
      <vt:lpstr>COLDVSNA_TARIFF_B_COLDVSNA_DELETE_PERIOD_ROW_MARKER</vt:lpstr>
      <vt:lpstr>COLDVSNA_TARIFF_B_COLDVSNA_FLAG_BLOCK_COLUMN_MARKER</vt:lpstr>
      <vt:lpstr>COLDVSNA_TARIFF_B_COLDVSNA_FLAG_BLOCK_ROW_MARKER</vt:lpstr>
      <vt:lpstr>COLDVSNA_TARIFF_B_COLDVSNA_NUM_CS_COLUMN_MARKER</vt:lpstr>
      <vt:lpstr>COLDVSNA_TARIFF_B_COLDVSNA_NUM_DATA_DIFF_COLUMN_MARKER</vt:lpstr>
      <vt:lpstr>COLDVSNA_TARIFF_B_COLDVSNA_NUM_FLAG_DIFF_COLUMN_MARKER</vt:lpstr>
      <vt:lpstr>COLDVSNA_TARIFF_B_COLDVSNA_NUM_GC_COLUMN_MARKER</vt:lpstr>
      <vt:lpstr>COLDVSNA_TARIFF_B_COLDVSNA_NUM_NTAR_COLUMN_MARKER</vt:lpstr>
      <vt:lpstr>COLDVSNA_TARIFF_B_COLDVSNA_NUM_TER_COLUMN_MARKER</vt:lpstr>
      <vt:lpstr>COLDVSNA_TARIFF_C_COLDVSNA_ADD_HL_COLUMN_MARKER</vt:lpstr>
      <vt:lpstr>COLDVSNA_TARIFF_C_COLDVSNA_DEL_HL_DATA_DIFF_COLUMN_MARKER</vt:lpstr>
      <vt:lpstr>COLDVSNA_TARIFF_C_COLDVSNA_DEL_HL_FLAG_DIFF_COLUMN_MARKER</vt:lpstr>
      <vt:lpstr>COLDVSNA_TARIFF_C_COLDVSNA_DEL_HL_GC_COLUMN_MARKER</vt:lpstr>
      <vt:lpstr>COLDVSNA_TARIFF_C_COLDVSNA_DELETE_PERIOD_ROW_MARKER</vt:lpstr>
      <vt:lpstr>COLDVSNA_TARIFF_C_COLDVSNA_FLAG_BLOCK_COLUMN_MARKER</vt:lpstr>
      <vt:lpstr>COLDVSNA_TARIFF_C_COLDVSNA_FLAG_BLOCK_ROW_MARKER</vt:lpstr>
      <vt:lpstr>COLDVSNA_TARIFF_C_COLDVSNA_NUM_CS_COLUMN_MARKER</vt:lpstr>
      <vt:lpstr>COLDVSNA_TARIFF_C_COLDVSNA_NUM_DATA_DIFF_COLUMN_MARKER</vt:lpstr>
      <vt:lpstr>COLDVSNA_TARIFF_C_COLDVSNA_NUM_FLAG_DIFF_COLUMN_MARKER</vt:lpstr>
      <vt:lpstr>COLDVSNA_TARIFF_C_COLDVSNA_NUM_GC_COLUMN_MARKER</vt:lpstr>
      <vt:lpstr>COLDVSNA_TARIFF_C_COLDVSNA_NUM_NTAR_COLUMN_MARKER</vt:lpstr>
      <vt:lpstr>COLDVSNA_TARIFF_C_COLDVSNA_NUM_TER_COLUMN_MARKER</vt:lpstr>
      <vt:lpstr>COLDVSNA_TARIFF_D_COLDVSNA_ADD_HL_COLUMN_MARKER</vt:lpstr>
      <vt:lpstr>COLDVSNA_TARIFF_D_COLDVSNA_DEL_HL_DATA_DIFF_COLUMN_MARKER</vt:lpstr>
      <vt:lpstr>COLDVSNA_TARIFF_D_COLDVSNA_DEL_HL_FLAG_DIFF_COLUMN_MARKER</vt:lpstr>
      <vt:lpstr>COLDVSNA_TARIFF_D_COLDVSNA_DEL_HL_GC_COLUMN_MARKER</vt:lpstr>
      <vt:lpstr>COLDVSNA_TARIFF_D_COLDVSNA_DELETE_PERIOD_ROW_MARKER</vt:lpstr>
      <vt:lpstr>COLDVSNA_TARIFF_D_COLDVSNA_FLAG_BLOCK_COLUMN_MARKER</vt:lpstr>
      <vt:lpstr>COLDVSNA_TARIFF_D_COLDVSNA_FLAG_BLOCK_ROW_MARKER</vt:lpstr>
      <vt:lpstr>COLDVSNA_TARIFF_D_COLDVSNA_NUM_CS_COLUMN_MARKER</vt:lpstr>
      <vt:lpstr>COLDVSNA_TARIFF_D_COLDVSNA_NUM_DATA_DIFF_COLUMN_MARKER</vt:lpstr>
      <vt:lpstr>COLDVSNA_TARIFF_D_COLDVSNA_NUM_FLAG_DIFF_COLUMN_MARKER</vt:lpstr>
      <vt:lpstr>COLDVSNA_TARIFF_D_COLDVSNA_NUM_GC_COLUMN_MARKER</vt:lpstr>
      <vt:lpstr>COLDVSNA_TARIFF_D_COLDVSNA_NUM_NTAR_COLUMN_MARKER</vt:lpstr>
      <vt:lpstr>COLDVSNA_TARIFF_D_COLDVSNA_NUM_TER_COLUMN_MARKER</vt:lpstr>
      <vt:lpstr>COLDVSNA_TARIFF_E_COLDVSNA_ADD_HL_COLUMN_MARKER</vt:lpstr>
      <vt:lpstr>COLDVSNA_TARIFF_E_COLDVSNA_ADD_HL_DIAMETERS_COLUMN_MARKER</vt:lpstr>
      <vt:lpstr>COLDVSNA_TARIFF_E_COLDVSNA_ADD_HL_LEN_COLUMN_MARKER</vt:lpstr>
      <vt:lpstr>COLDVSNA_TARIFF_E_COLDVSNA_ADD_HL_LOAD_COLUMN_MARKER</vt:lpstr>
      <vt:lpstr>COLDVSNA_TARIFF_E_COLDVSNA_ADD_HL_NETS_COLUMN_MARKER</vt:lpstr>
      <vt:lpstr>COLDVSNA_TARIFF_E_COLDVSNA_DEL_HL_DATA_DIFF_COLUMN_MARKER</vt:lpstr>
      <vt:lpstr>COLDVSNA_TARIFF_E_COLDVSNA_DEL_HL_DIAMETERS_COLUMN_MARKER</vt:lpstr>
      <vt:lpstr>COLDVSNA_TARIFF_E_COLDVSNA_DEL_HL_FLAG_DIFF_COLUMN_MARKER</vt:lpstr>
      <vt:lpstr>COLDVSNA_TARIFF_E_COLDVSNA_DEL_HL_GC_COLUMN_MARKER</vt:lpstr>
      <vt:lpstr>COLDVSNA_TARIFF_E_COLDVSNA_DEL_HL_LEN_COLUMN_MARKER</vt:lpstr>
      <vt:lpstr>COLDVSNA_TARIFF_E_COLDVSNA_DEL_HL_LOAD_COLUMN_MARKER</vt:lpstr>
      <vt:lpstr>COLDVSNA_TARIFF_E_COLDVSNA_DEL_HL_NETS_COLUMN_MARKER</vt:lpstr>
      <vt:lpstr>COLDVSNA_TARIFF_E_COLDVSNA_DELETE_PERIOD_ROW_MARKER</vt:lpstr>
      <vt:lpstr>COLDVSNA_TARIFF_E_COLDVSNA_FLAG_BLOCK_COLUMN_MARKER</vt:lpstr>
      <vt:lpstr>COLDVSNA_TARIFF_E_COLDVSNA_FLAG_BLOCK_ROW_MARKER</vt:lpstr>
      <vt:lpstr>COLDVSNA_TARIFF_E_COLDVSNA_NUM_CS_COLUMN_MARKER</vt:lpstr>
      <vt:lpstr>COLDVSNA_TARIFF_E_COLDVSNA_NUM_DATA_DIFF_COLUMN_MARKER</vt:lpstr>
      <vt:lpstr>COLDVSNA_TARIFF_E_COLDVSNA_NUM_DIAMETERS_COLUMN_MARKER</vt:lpstr>
      <vt:lpstr>COLDVSNA_TARIFF_E_COLDVSNA_NUM_FLAG_DIFF_COLUMN_MARKER</vt:lpstr>
      <vt:lpstr>COLDVSNA_TARIFF_E_COLDVSNA_NUM_GC_COLUMN_MARKER</vt:lpstr>
      <vt:lpstr>COLDVSNA_TARIFF_E_COLDVSNA_NUM_LEN_COLUMN_MARKER</vt:lpstr>
      <vt:lpstr>COLDVSNA_TARIFF_E_COLDVSNA_NUM_LOAD_COLUMN_MARKER</vt:lpstr>
      <vt:lpstr>COLDVSNA_TARIFF_E_COLDVSNA_NUM_NETS_COLUMN_MARKER</vt:lpstr>
      <vt:lpstr>COLDVSNA_TARIFF_E_COLDVSNA_NUM_NTAR_COLUMN_MARKER</vt:lpstr>
      <vt:lpstr>COLDVSNA_TARIFF_E_COLDVSNA_NUM_TER_COLUMN_MARKER</vt:lpstr>
      <vt:lpstr>cross_without_borders</vt:lpstr>
      <vt:lpstr>CS_ID</vt:lpstr>
      <vt:lpstr>CURRENT_DATE</vt:lpstr>
      <vt:lpstr>CURRENT_YEAR</vt:lpstr>
      <vt:lpstr>DATA_URL</vt:lpstr>
      <vt:lpstr>DESCRIPTION_TERRITORY</vt:lpstr>
      <vt:lpstr>DIFFERENTIATION_AREA</vt:lpstr>
      <vt:lpstr>DIFFERENTIATION_AREA_ID</vt:lpstr>
      <vt:lpstr>DIFFERENTIATION_CheckC</vt:lpstr>
      <vt:lpstr>DIFFERENTIATION_fieldMarker</vt:lpstr>
      <vt:lpstr>DIFFERENTIATION_ID</vt:lpstr>
      <vt:lpstr>DIFFERENTIATION_ID_DIFF</vt:lpstr>
      <vt:lpstr>DIFFERENTIATION_SYSTEM</vt:lpstr>
      <vt:lpstr>DIFFERENTIATION_TARIFF_AREA_ID</vt:lpstr>
      <vt:lpstr>DIFFERENTIATION_TARIFF_VD_ID</vt:lpstr>
      <vt:lpstr>DIFFERENTIATION_TARIFF_VTAR_ID</vt:lpstr>
      <vt:lpstr>DIFFERENTIATION_TKO_ADD_HL_CLASS_TKO_COLUMN_MARKER</vt:lpstr>
      <vt:lpstr>DIFFERENTIATION_TKO_ADD_HL_NTAR_COLUMN_MARKER</vt:lpstr>
      <vt:lpstr>DIFFERENTIATION_TKO_ADD_HL_TER_COLUMN_MARKER</vt:lpstr>
      <vt:lpstr>DIFFERENTIATION_TKO_ADD_HL_TO_COLUMN_MARKER</vt:lpstr>
      <vt:lpstr>DIFFERENTIATION_TKO_ADD_HL_TYPE_TKO_COLUMN_MARKER</vt:lpstr>
      <vt:lpstr>DIFFERENTIATION_TKO_ADD_HL_VTAR_COLUMN_MARKER</vt:lpstr>
      <vt:lpstr>DIFFERENTIATION_TKO_AREA_ID</vt:lpstr>
      <vt:lpstr>DIFFERENTIATION_TKO_DEL_HL_CLASS_TKO_COLUMN_MARKER</vt:lpstr>
      <vt:lpstr>DIFFERENTIATION_TKO_DEL_HL_NTAR_COLUMN_MARKER</vt:lpstr>
      <vt:lpstr>DIFFERENTIATION_TKO_DEL_HL_TER_COLUMN_MARKER</vt:lpstr>
      <vt:lpstr>DIFFERENTIATION_TKO_DEL_HL_TO_COLUMN_MARKER</vt:lpstr>
      <vt:lpstr>DIFFERENTIATION_TKO_DEL_HL_TYPE_TKO_COLUMN_MARKER</vt:lpstr>
      <vt:lpstr>DIFFERENTIATION_TKO_FLAG_DIFF_CLASS_TKO_ETC_COLUMN_MARKER</vt:lpstr>
      <vt:lpstr>DIFFERENTIATION_TKO_FLAG_DIFF_CLASS_TKO_TARIFF_COLUMN_MARKER</vt:lpstr>
      <vt:lpstr>DIFFERENTIATION_TKO_FLAG_DIFF_TER_ETC_COLUMN_MARKER</vt:lpstr>
      <vt:lpstr>DIFFERENTIATION_TKO_FLAG_DIFF_TER_TARIFF_COLUMN_MARKER</vt:lpstr>
      <vt:lpstr>DIFFERENTIATION_TKO_FLAG_DIFF_TO_ETC_COLUMN_MARKER</vt:lpstr>
      <vt:lpstr>DIFFERENTIATION_TKO_FLAG_DIFF_TO_TARIFF_COLUMN_MARKER</vt:lpstr>
      <vt:lpstr>DIFFERENTIATION_TKO_FLAG_DIFF_TYPE_TKO_ETC_COLUMN_MARKER</vt:lpstr>
      <vt:lpstr>DIFFERENTIATION_TKO_FLAG_DIFF_TYPE_TKO_TARIFF_COLUMN_MARKER</vt:lpstr>
      <vt:lpstr>DIFFERENTIATION_TKO_FLAG_VTAR_COLUMN_MARKER</vt:lpstr>
      <vt:lpstr>DIFFERENTIATION_TKO_TER_ID</vt:lpstr>
      <vt:lpstr>DIFFERENTIATION_UNMERGE_AREA</vt:lpstr>
      <vt:lpstr>DIFFERENTIATION_UNMERGE_SYSTEM</vt:lpstr>
      <vt:lpstr>DIFFERENTIATION_UNMERGE_VD</vt:lpstr>
      <vt:lpstr>DIFFERENTIATION_VD</vt:lpstr>
      <vt:lpstr>DIFFERENTIATION_VD_ID</vt:lpstr>
      <vt:lpstr>ED_DATE</vt:lpstr>
      <vt:lpstr>ED_DATE_PARKING</vt:lpstr>
      <vt:lpstr>ED_LINK</vt:lpstr>
      <vt:lpstr>EndDateList</vt:lpstr>
      <vt:lpstr>et_B_FHD20_1</vt:lpstr>
      <vt:lpstr>et_B_FHD20_1_HEAT</vt:lpstr>
      <vt:lpstr>et_B_FHD20_1_NOT_HEAT</vt:lpstr>
      <vt:lpstr>et_B_FHD20_2</vt:lpstr>
      <vt:lpstr>et_B_FHD20_3</vt:lpstr>
      <vt:lpstr>et_B_FHD20_4</vt:lpstr>
      <vt:lpstr>et_B_STANDARTS</vt:lpstr>
      <vt:lpstr>et_CHANGE_INFO</vt:lpstr>
      <vt:lpstr>et_COLDVSNA_TARIFF_A_COLDVSNA_CS</vt:lpstr>
      <vt:lpstr>et_COLDVSNA_TARIFF_A_COLDVSNA_DATA_DIFF</vt:lpstr>
      <vt:lpstr>et_COLDVSNA_TARIFF_A_COLDVSNA_FLAG_DIFF</vt:lpstr>
      <vt:lpstr>et_COLDVSNA_TARIFF_A_COLDVSNA_GC</vt:lpstr>
      <vt:lpstr>et_COLDVSNA_TARIFF_A_COLDVSNA_NTAR</vt:lpstr>
      <vt:lpstr>et_COLDVSNA_TARIFF_A_COLDVSNA_PERIOD_COLOR</vt:lpstr>
      <vt:lpstr>et_COLDVSNA_TARIFF_A_COLDVSNA_PERIOD_NOT_COLOR</vt:lpstr>
      <vt:lpstr>et_COLDVSNA_TARIFF_A_COLDVSNA_TER</vt:lpstr>
      <vt:lpstr>et_COLDVSNA_TARIFF_A_COLDVSNA_TN</vt:lpstr>
      <vt:lpstr>et_COLDVSNA_TARIFF_B_COLDVSNA_CS</vt:lpstr>
      <vt:lpstr>et_COLDVSNA_TARIFF_B_COLDVSNA_DATA_DIFF</vt:lpstr>
      <vt:lpstr>et_COLDVSNA_TARIFF_B_COLDVSNA_FLAG_DIFF</vt:lpstr>
      <vt:lpstr>et_COLDVSNA_TARIFF_B_COLDVSNA_GC</vt:lpstr>
      <vt:lpstr>et_COLDVSNA_TARIFF_B_COLDVSNA_NTAR</vt:lpstr>
      <vt:lpstr>et_COLDVSNA_TARIFF_B_COLDVSNA_PERIOD_COLOR</vt:lpstr>
      <vt:lpstr>et_COLDVSNA_TARIFF_B_COLDVSNA_PERIOD_NOT_COLOR</vt:lpstr>
      <vt:lpstr>et_COLDVSNA_TARIFF_B_COLDVSNA_TER</vt:lpstr>
      <vt:lpstr>et_COLDVSNA_TARIFF_C_COLDVSNA_CS</vt:lpstr>
      <vt:lpstr>et_COLDVSNA_TARIFF_C_COLDVSNA_DATA_DIFF</vt:lpstr>
      <vt:lpstr>et_COLDVSNA_TARIFF_C_COLDVSNA_FLAG_DIFF</vt:lpstr>
      <vt:lpstr>et_COLDVSNA_TARIFF_C_COLDVSNA_GC</vt:lpstr>
      <vt:lpstr>et_COLDVSNA_TARIFF_C_COLDVSNA_NTAR</vt:lpstr>
      <vt:lpstr>et_COLDVSNA_TARIFF_C_COLDVSNA_PERIOD_COLOR</vt:lpstr>
      <vt:lpstr>et_COLDVSNA_TARIFF_C_COLDVSNA_PERIOD_NOT_COLOR</vt:lpstr>
      <vt:lpstr>et_COLDVSNA_TARIFF_C_COLDVSNA_TER</vt:lpstr>
      <vt:lpstr>et_COLDVSNA_TARIFF_D_COLDVSNA_CS</vt:lpstr>
      <vt:lpstr>et_COLDVSNA_TARIFF_D_COLDVSNA_DATA_DIFF</vt:lpstr>
      <vt:lpstr>et_COLDVSNA_TARIFF_D_COLDVSNA_FLAG_DIFF</vt:lpstr>
      <vt:lpstr>et_COLDVSNA_TARIFF_D_COLDVSNA_GC</vt:lpstr>
      <vt:lpstr>et_COLDVSNA_TARIFF_D_COLDVSNA_NTAR</vt:lpstr>
      <vt:lpstr>et_COLDVSNA_TARIFF_D_COLDVSNA_PERIOD_COLOR</vt:lpstr>
      <vt:lpstr>et_COLDVSNA_TARIFF_D_COLDVSNA_PERIOD_NOT_COLOR</vt:lpstr>
      <vt:lpstr>et_COLDVSNA_TARIFF_D_COLDVSNA_TER</vt:lpstr>
      <vt:lpstr>et_COLDVSNA_TARIFF_E_COLDVSNA_CS</vt:lpstr>
      <vt:lpstr>et_COLDVSNA_TARIFF_E_COLDVSNA_DATA_DIFF</vt:lpstr>
      <vt:lpstr>et_COLDVSNA_TARIFF_E_COLDVSNA_DIAMETERS</vt:lpstr>
      <vt:lpstr>et_COLDVSNA_TARIFF_E_COLDVSNA_FLAG_DIFF</vt:lpstr>
      <vt:lpstr>et_COLDVSNA_TARIFF_E_COLDVSNA_GC</vt:lpstr>
      <vt:lpstr>et_COLDVSNA_TARIFF_E_COLDVSNA_LEN</vt:lpstr>
      <vt:lpstr>et_COLDVSNA_TARIFF_E_COLDVSNA_LOAD</vt:lpstr>
      <vt:lpstr>et_COLDVSNA_TARIFF_E_COLDVSNA_NETS</vt:lpstr>
      <vt:lpstr>et_COLDVSNA_TARIFF_E_COLDVSNA_NTAR</vt:lpstr>
      <vt:lpstr>et_COLDVSNA_TARIFF_E_COLDVSNA_PERIOD_COLOR</vt:lpstr>
      <vt:lpstr>et_COLDVSNA_TARIFF_E_COLDVSNA_PERIOD_NOT_COLOR</vt:lpstr>
      <vt:lpstr>et_COLDVSNA_TARIFF_E_COLDVSNA_TER</vt:lpstr>
      <vt:lpstr>et_Comm</vt:lpstr>
      <vt:lpstr>et_DIFFERENTIATION_AREA</vt:lpstr>
      <vt:lpstr>et_DIFFERENTIATION_SYSTEM</vt:lpstr>
      <vt:lpstr>et_DIFFERENTIATION_TARIFF_COLOR</vt:lpstr>
      <vt:lpstr>et_DIFFERENTIATION_TARIFF_CS</vt:lpstr>
      <vt:lpstr>et_DIFFERENTIATION_TARIFF_IST_TE</vt:lpstr>
      <vt:lpstr>et_DIFFERENTIATION_TARIFF_NOT_COLOR</vt:lpstr>
      <vt:lpstr>et_DIFFERENTIATION_TARIFF_NOT_HEAT_COLOR</vt:lpstr>
      <vt:lpstr>et_DIFFERENTIATION_TARIFF_NOT_HEAT_CS</vt:lpstr>
      <vt:lpstr>et_DIFFERENTIATION_TARIFF_NOT_HEAT_NTAR</vt:lpstr>
      <vt:lpstr>et_DIFFERENTIATION_TARIFF_NOT_HEAT_TER</vt:lpstr>
      <vt:lpstr>et_DIFFERENTIATION_TARIFF_NOT_HEAT_VTAR</vt:lpstr>
      <vt:lpstr>et_DIFFERENTIATION_TARIFF_NTAR</vt:lpstr>
      <vt:lpstr>et_DIFFERENTIATION_TARIFF_TER</vt:lpstr>
      <vt:lpstr>et_DIFFERENTIATION_TARIFF_VTAR</vt:lpstr>
      <vt:lpstr>et_DIFFERENTIATION_TKO_CLASS_TKO</vt:lpstr>
      <vt:lpstr>et_DIFFERENTIATION_TKO_COLOR</vt:lpstr>
      <vt:lpstr>et_DIFFERENTIATION_TKO_NOT_COLOR</vt:lpstr>
      <vt:lpstr>et_DIFFERENTIATION_TKO_NTAR</vt:lpstr>
      <vt:lpstr>et_DIFFERENTIATION_TKO_TER</vt:lpstr>
      <vt:lpstr>et_DIFFERENTIATION_TKO_TO</vt:lpstr>
      <vt:lpstr>et_DIFFERENTIATION_TKO_TYPE_TKO</vt:lpstr>
      <vt:lpstr>et_DIFFERENTIATION_TKO_VTAR</vt:lpstr>
      <vt:lpstr>et_DIFFERENTIATION_VD</vt:lpstr>
      <vt:lpstr>et_ED</vt:lpstr>
      <vt:lpstr>et_HEAT_TARIFF_A_CS</vt:lpstr>
      <vt:lpstr>et_HEAT_TARIFF_A_GC</vt:lpstr>
      <vt:lpstr>et_HEAT_TARIFF_A_IST_TE</vt:lpstr>
      <vt:lpstr>et_HEAT_TARIFF_A_NTAR</vt:lpstr>
      <vt:lpstr>et_HEAT_TARIFF_A_PERIOD_COLOR</vt:lpstr>
      <vt:lpstr>et_HEAT_TARIFF_A_PERIOD_NOT_COLOR</vt:lpstr>
      <vt:lpstr>et_HEAT_TARIFF_A_SCHEME</vt:lpstr>
      <vt:lpstr>et_HEAT_TARIFF_A_TER</vt:lpstr>
      <vt:lpstr>et_HEAT_TARIFF_A_TN</vt:lpstr>
      <vt:lpstr>et_HEAT_TARIFF_B_CS</vt:lpstr>
      <vt:lpstr>et_HEAT_TARIFF_B_GC</vt:lpstr>
      <vt:lpstr>et_HEAT_TARIFF_B_IST_TE</vt:lpstr>
      <vt:lpstr>et_HEAT_TARIFF_B_NTAR</vt:lpstr>
      <vt:lpstr>et_HEAT_TARIFF_B_PERIOD_COLOR</vt:lpstr>
      <vt:lpstr>et_HEAT_TARIFF_B_PERIOD_NOT_COLOR</vt:lpstr>
      <vt:lpstr>et_HEAT_TARIFF_B_SCHEME</vt:lpstr>
      <vt:lpstr>et_HEAT_TARIFF_B_TER</vt:lpstr>
      <vt:lpstr>et_HEAT_TARIFF_B_TN</vt:lpstr>
      <vt:lpstr>et_HEAT_TARIFF_C_CS</vt:lpstr>
      <vt:lpstr>et_HEAT_TARIFF_C_GC</vt:lpstr>
      <vt:lpstr>et_HEAT_TARIFF_C_IST_TE</vt:lpstr>
      <vt:lpstr>et_HEAT_TARIFF_C_NTAR</vt:lpstr>
      <vt:lpstr>et_HEAT_TARIFF_C_PERIOD_COLOR</vt:lpstr>
      <vt:lpstr>et_HEAT_TARIFF_C_PERIOD_NOT_COLOR</vt:lpstr>
      <vt:lpstr>et_HEAT_TARIFF_C_SCHEME</vt:lpstr>
      <vt:lpstr>et_HEAT_TARIFF_C_TER</vt:lpstr>
      <vt:lpstr>et_HEAT_TARIFF_C_TN</vt:lpstr>
      <vt:lpstr>et_HEAT_TARIFF_D_CONS</vt:lpstr>
      <vt:lpstr>et_HEAT_TARIFF_D_CS</vt:lpstr>
      <vt:lpstr>et_HEAT_TARIFF_D_GC</vt:lpstr>
      <vt:lpstr>et_HEAT_TARIFF_D_IST_TE</vt:lpstr>
      <vt:lpstr>et_HEAT_TARIFF_D_NTAR</vt:lpstr>
      <vt:lpstr>et_HEAT_TARIFF_D_PERIOD_COLOR</vt:lpstr>
      <vt:lpstr>et_HEAT_TARIFF_D_PERIOD_NOT_COLOR</vt:lpstr>
      <vt:lpstr>et_HEAT_TARIFF_D_SCHEME</vt:lpstr>
      <vt:lpstr>et_HEAT_TARIFF_D_TER</vt:lpstr>
      <vt:lpstr>et_HEAT_TARIFF_D_TN</vt:lpstr>
      <vt:lpstr>et_HEAT_TARIFF_E1_CS</vt:lpstr>
      <vt:lpstr>et_HEAT_TARIFF_E1_GC</vt:lpstr>
      <vt:lpstr>et_HEAT_TARIFF_E1_IST_TE</vt:lpstr>
      <vt:lpstr>et_HEAT_TARIFF_E1_NTAR</vt:lpstr>
      <vt:lpstr>et_HEAT_TARIFF_E1_PERIOD_COLOR</vt:lpstr>
      <vt:lpstr>et_HEAT_TARIFF_E1_PERIOD_NOT_COLOR</vt:lpstr>
      <vt:lpstr>et_HEAT_TARIFF_E1_SCHEME</vt:lpstr>
      <vt:lpstr>et_HEAT_TARIFF_E1_TER</vt:lpstr>
      <vt:lpstr>et_HEAT_TARIFF_E1_TN</vt:lpstr>
      <vt:lpstr>et_HEAT_TARIFF_E2_CS</vt:lpstr>
      <vt:lpstr>et_HEAT_TARIFF_E2_GC</vt:lpstr>
      <vt:lpstr>et_HEAT_TARIFF_E2_IST_TE</vt:lpstr>
      <vt:lpstr>et_HEAT_TARIFF_E2_NTAR</vt:lpstr>
      <vt:lpstr>et_HEAT_TARIFF_E2_PERIOD_COLOR</vt:lpstr>
      <vt:lpstr>et_HEAT_TARIFF_E2_PERIOD_NOT_COLOR</vt:lpstr>
      <vt:lpstr>et_HEAT_TARIFF_E2_SCHEME</vt:lpstr>
      <vt:lpstr>et_HEAT_TARIFF_E2_TER</vt:lpstr>
      <vt:lpstr>et_HEAT_TARIFF_E2_TN</vt:lpstr>
      <vt:lpstr>et_HEAT_TARIFF_F_CS</vt:lpstr>
      <vt:lpstr>et_HEAT_TARIFF_F_GC</vt:lpstr>
      <vt:lpstr>et_HEAT_TARIFF_F_IST_TE</vt:lpstr>
      <vt:lpstr>et_HEAT_TARIFF_F_NTAR</vt:lpstr>
      <vt:lpstr>et_HEAT_TARIFF_F_PERIOD_COLOR</vt:lpstr>
      <vt:lpstr>et_HEAT_TARIFF_F_PERIOD_NOT_COLOR</vt:lpstr>
      <vt:lpstr>et_HEAT_TARIFF_F_SCHEME</vt:lpstr>
      <vt:lpstr>et_HEAT_TARIFF_F_TER</vt:lpstr>
      <vt:lpstr>et_HEAT_TARIFF_F_TN</vt:lpstr>
      <vt:lpstr>et_HEAT_TARIFF_G_CS</vt:lpstr>
      <vt:lpstr>et_HEAT_TARIFF_G_DIAMETERS</vt:lpstr>
      <vt:lpstr>et_HEAT_TARIFF_G_GC</vt:lpstr>
      <vt:lpstr>et_HEAT_TARIFF_G_IST_TE</vt:lpstr>
      <vt:lpstr>et_HEAT_TARIFF_G_LOAD</vt:lpstr>
      <vt:lpstr>et_HEAT_TARIFF_G_NETS</vt:lpstr>
      <vt:lpstr>et_HEAT_TARIFF_G_NTAR</vt:lpstr>
      <vt:lpstr>et_HEAT_TARIFF_G_PERIOD_COLOR</vt:lpstr>
      <vt:lpstr>et_HEAT_TARIFF_G_PERIOD_NOT_COLOR</vt:lpstr>
      <vt:lpstr>et_HEAT_TARIFF_G_SCHEME</vt:lpstr>
      <vt:lpstr>et_HEAT_TARIFF_G_TER</vt:lpstr>
      <vt:lpstr>et_HEAT_TARIFF_G_TN</vt:lpstr>
      <vt:lpstr>et_HEAT_TARIFF_H_CS</vt:lpstr>
      <vt:lpstr>et_HEAT_TARIFF_H_DIAMETERS</vt:lpstr>
      <vt:lpstr>et_HEAT_TARIFF_H_GC</vt:lpstr>
      <vt:lpstr>et_HEAT_TARIFF_H_IST_TE</vt:lpstr>
      <vt:lpstr>et_HEAT_TARIFF_H_LOAD</vt:lpstr>
      <vt:lpstr>et_HEAT_TARIFF_H_NETS</vt:lpstr>
      <vt:lpstr>et_HEAT_TARIFF_H_NTAR</vt:lpstr>
      <vt:lpstr>et_HEAT_TARIFF_H_PERIOD_COLOR</vt:lpstr>
      <vt:lpstr>et_HEAT_TARIFF_H_PERIOD_NOT_COLOR</vt:lpstr>
      <vt:lpstr>et_HEAT_TARIFF_H_SCHEME</vt:lpstr>
      <vt:lpstr>et_HEAT_TARIFF_H_TER</vt:lpstr>
      <vt:lpstr>et_HEAT_TARIFF_H_TN</vt:lpstr>
      <vt:lpstr>et_HEAT_TARIFF_I_1_CS</vt:lpstr>
      <vt:lpstr>et_HEAT_TARIFF_I_1_GC</vt:lpstr>
      <vt:lpstr>et_HEAT_TARIFF_I_1_IST_TE</vt:lpstr>
      <vt:lpstr>et_HEAT_TARIFF_I_1_NTAR</vt:lpstr>
      <vt:lpstr>et_HEAT_TARIFF_I_1_PERIOD_COLOR</vt:lpstr>
      <vt:lpstr>et_HEAT_TARIFF_I_1_PERIOD_NOT_COLOR</vt:lpstr>
      <vt:lpstr>et_HEAT_TARIFF_I_1_SCHEME</vt:lpstr>
      <vt:lpstr>et_HEAT_TARIFF_I_1_TER</vt:lpstr>
      <vt:lpstr>et_HEAT_TARIFF_I_1_TN</vt:lpstr>
      <vt:lpstr>et_HEAT_TARIFF_I_CS</vt:lpstr>
      <vt:lpstr>et_HEAT_TARIFF_I_GC</vt:lpstr>
      <vt:lpstr>et_HEAT_TARIFF_I_IST_TE</vt:lpstr>
      <vt:lpstr>et_HEAT_TARIFF_I_NTAR</vt:lpstr>
      <vt:lpstr>et_HEAT_TARIFF_I_PERIOD_COLOR</vt:lpstr>
      <vt:lpstr>et_HEAT_TARIFF_I_PERIOD_NOT_COLOR</vt:lpstr>
      <vt:lpstr>et_HEAT_TARIFF_I_SCHEME</vt:lpstr>
      <vt:lpstr>et_HEAT_TARIFF_I_TER</vt:lpstr>
      <vt:lpstr>et_HEAT_TARIFF_I_TN</vt:lpstr>
      <vt:lpstr>et_hor_B_FHD_1</vt:lpstr>
      <vt:lpstr>et_hor_B_FHD_2</vt:lpstr>
      <vt:lpstr>et_hor_B_FHD_3</vt:lpstr>
      <vt:lpstr>et_hor_B_FHD_4</vt:lpstr>
      <vt:lpstr>et_hor_B_FHD_5</vt:lpstr>
      <vt:lpstr>et_hor_B_FHD_6</vt:lpstr>
      <vt:lpstr>et_hor_B_FHD_TKO_2</vt:lpstr>
      <vt:lpstr>et_hor_B_FHD_TKO_TRANS_2</vt:lpstr>
      <vt:lpstr>et_hor_B_OTEP_2</vt:lpstr>
      <vt:lpstr>et_hor_Q_LIMIT_1</vt:lpstr>
      <vt:lpstr>et_hor_Q_LIMIT_2</vt:lpstr>
      <vt:lpstr>et_hor_Q_LIMIT_3</vt:lpstr>
      <vt:lpstr>et_hor_Q_LIMIT_4</vt:lpstr>
      <vt:lpstr>et_hor_Q_TP_1</vt:lpstr>
      <vt:lpstr>et_HOTVSNA_TARIFF_A_HOTVSNA_CS</vt:lpstr>
      <vt:lpstr>et_HOTVSNA_TARIFF_A_HOTVSNA_DATA_DIFF</vt:lpstr>
      <vt:lpstr>et_HOTVSNA_TARIFF_A_HOTVSNA_FLAG_DIFF</vt:lpstr>
      <vt:lpstr>et_HOTVSNA_TARIFF_A_HOTVSNA_GC</vt:lpstr>
      <vt:lpstr>et_HOTVSNA_TARIFF_A_HOTVSNA_NTAR</vt:lpstr>
      <vt:lpstr>et_HOTVSNA_TARIFF_A_HOTVSNA_PERIOD_COLOR</vt:lpstr>
      <vt:lpstr>et_HOTVSNA_TARIFF_A_HOTVSNA_PERIOD_NOT_COLOR</vt:lpstr>
      <vt:lpstr>et_HOTVSNA_TARIFF_A_HOTVSNA_TER</vt:lpstr>
      <vt:lpstr>et_HOTVSNA_TARIFF_A_HOTVSNA_TN</vt:lpstr>
      <vt:lpstr>et_HOTVSNA_TARIFF_B_HOTVSNA_CS</vt:lpstr>
      <vt:lpstr>et_HOTVSNA_TARIFF_B_HOTVSNA_DATA_DIFF</vt:lpstr>
      <vt:lpstr>et_HOTVSNA_TARIFF_B_HOTVSNA_FLAG_DIFF</vt:lpstr>
      <vt:lpstr>et_HOTVSNA_TARIFF_B_HOTVSNA_GC</vt:lpstr>
      <vt:lpstr>et_HOTVSNA_TARIFF_B_HOTVSNA_NTAR</vt:lpstr>
      <vt:lpstr>et_HOTVSNA_TARIFF_B_HOTVSNA_PERIOD_COLOR</vt:lpstr>
      <vt:lpstr>et_HOTVSNA_TARIFF_B_HOTVSNA_PERIOD_NOT_COLOR</vt:lpstr>
      <vt:lpstr>et_HOTVSNA_TARIFF_B_HOTVSNA_TER</vt:lpstr>
      <vt:lpstr>et_HOTVSNA_TARIFF_B_HOTVSNA_TN</vt:lpstr>
      <vt:lpstr>et_HOTVSNA_TARIFF_C_HOTVSNA_CS</vt:lpstr>
      <vt:lpstr>et_HOTVSNA_TARIFF_C_HOTVSNA_DATA_DIFF</vt:lpstr>
      <vt:lpstr>et_HOTVSNA_TARIFF_C_HOTVSNA_DIAMETERS</vt:lpstr>
      <vt:lpstr>et_HOTVSNA_TARIFF_C_HOTVSNA_FLAG_DIFF</vt:lpstr>
      <vt:lpstr>et_HOTVSNA_TARIFF_C_HOTVSNA_GC</vt:lpstr>
      <vt:lpstr>et_HOTVSNA_TARIFF_C_HOTVSNA_LEN</vt:lpstr>
      <vt:lpstr>et_HOTVSNA_TARIFF_C_HOTVSNA_LOAD</vt:lpstr>
      <vt:lpstr>et_HOTVSNA_TARIFF_C_HOTVSNA_NETS</vt:lpstr>
      <vt:lpstr>et_HOTVSNA_TARIFF_C_HOTVSNA_NTAR</vt:lpstr>
      <vt:lpstr>et_HOTVSNA_TARIFF_C_HOTVSNA_PERIOD_COLOR</vt:lpstr>
      <vt:lpstr>et_HOTVSNA_TARIFF_C_HOTVSNA_PERIOD_NOT_COLOR</vt:lpstr>
      <vt:lpstr>et_HOTVSNA_TARIFF_C_HOTVSNA_TER</vt:lpstr>
      <vt:lpstr>et_IP_DETAILED</vt:lpstr>
      <vt:lpstr>et_IP_DETAILED_EVENT</vt:lpstr>
      <vt:lpstr>et_IP_DETAILED_IST_FIN</vt:lpstr>
      <vt:lpstr>et_IP_DETAILED_OBJECT</vt:lpstr>
      <vt:lpstr>et_IP_DETAILED_YEAR</vt:lpstr>
      <vt:lpstr>et_IP_MAIN</vt:lpstr>
      <vt:lpstr>et_IP_MAIN_PROPERTY</vt:lpstr>
      <vt:lpstr>et_IP_QRE</vt:lpstr>
      <vt:lpstr>et_IP_QRE_CLAIM</vt:lpstr>
      <vt:lpstr>et_List02</vt:lpstr>
      <vt:lpstr>et_List02_1_wd</vt:lpstr>
      <vt:lpstr>et_List02_2_wd</vt:lpstr>
      <vt:lpstr>et_List02_3_wd</vt:lpstr>
      <vt:lpstr>et_List02_4_wd</vt:lpstr>
      <vt:lpstr>et_List02_changeColor_1</vt:lpstr>
      <vt:lpstr>et_List02_changeColor_1_wd</vt:lpstr>
      <vt:lpstr>et_List02_changeColor_2</vt:lpstr>
      <vt:lpstr>et_List02_changeColor_2_wd</vt:lpstr>
      <vt:lpstr>et_List02_changeColor_3</vt:lpstr>
      <vt:lpstr>et_List02_changeColor_3_wd</vt:lpstr>
      <vt:lpstr>et_List02_changeColor_4</vt:lpstr>
      <vt:lpstr>et_List02_changeColor_4_wd</vt:lpstr>
      <vt:lpstr>et_List02_wd</vt:lpstr>
      <vt:lpstr>et_OFFER_p1</vt:lpstr>
      <vt:lpstr>et_OFFER_p1_0</vt:lpstr>
      <vt:lpstr>et_OFFER_p2</vt:lpstr>
      <vt:lpstr>et_OFFER_p2_0</vt:lpstr>
      <vt:lpstr>et_ORG_INFO_1</vt:lpstr>
      <vt:lpstr>et_ORG_INFO_2</vt:lpstr>
      <vt:lpstr>et_ORG_INFO_3</vt:lpstr>
      <vt:lpstr>et_ORG_TERRITORY_MO</vt:lpstr>
      <vt:lpstr>et_ORG_TERRITORY_MO_FLAG_INTERNET</vt:lpstr>
      <vt:lpstr>et_ORG_TERRITORY_MO_LINK</vt:lpstr>
      <vt:lpstr>et_ORG_VD</vt:lpstr>
      <vt:lpstr>et_ORG_VD_COLDVSNA</vt:lpstr>
      <vt:lpstr>et_ORG_VD_FIRST_SYSTEM</vt:lpstr>
      <vt:lpstr>et_ORG_VD_HEAT</vt:lpstr>
      <vt:lpstr>et_ORG_VD_HOTVSNA</vt:lpstr>
      <vt:lpstr>et_ORG_VD_TKO_ACTIVITY</vt:lpstr>
      <vt:lpstr>et_ORG_VD_TKO_TYPE_OBJECT</vt:lpstr>
      <vt:lpstr>et_ORG_VD_VOTV</vt:lpstr>
      <vt:lpstr>et_P_PROCEDURE_TC_1</vt:lpstr>
      <vt:lpstr>et_P_PROCEDURE_TC_2</vt:lpstr>
      <vt:lpstr>et_P_PROCEDURE_TC_3</vt:lpstr>
      <vt:lpstr>et_P_PROCEDURE_TC_4</vt:lpstr>
      <vt:lpstr>et_P_PROCEDURE_TC_5</vt:lpstr>
      <vt:lpstr>et_P_T_TERMS</vt:lpstr>
      <vt:lpstr>et_Q_TP_DIFFERENTIATION</vt:lpstr>
      <vt:lpstr>et_QRE</vt:lpstr>
      <vt:lpstr>et_QRE_CLAIM</vt:lpstr>
      <vt:lpstr>et_R_B_Purch</vt:lpstr>
      <vt:lpstr>et_ROIV_CASE_case</vt:lpstr>
      <vt:lpstr>et_ROIV_CASE_PUC_case</vt:lpstr>
      <vt:lpstr>et_ROIV_INFO_phone</vt:lpstr>
      <vt:lpstr>et_ROIV_ORG_org</vt:lpstr>
      <vt:lpstr>et_ROIV_OTV_DL</vt:lpstr>
      <vt:lpstr>et_ROIV_OTV_org</vt:lpstr>
      <vt:lpstr>et_TERMS</vt:lpstr>
      <vt:lpstr>et_TERRITORY_AREA</vt:lpstr>
      <vt:lpstr>et_TERRITORY_MO</vt:lpstr>
      <vt:lpstr>et_ver_B_FHD_DIFFERENTIATION</vt:lpstr>
      <vt:lpstr>et_ver_B_FHD_TKO_DIFFERENTIATION</vt:lpstr>
      <vt:lpstr>et_ver_B_FHD_TKO_TRANS_DIFFERENTIATION</vt:lpstr>
      <vt:lpstr>et_ver_B_KNE_DIFFERENTIATION</vt:lpstr>
      <vt:lpstr>et_ver_B_OTEP_DIFFERENTIATION</vt:lpstr>
      <vt:lpstr>et_ver_COLDVSNA_TARIFF_A_COLDVSNA</vt:lpstr>
      <vt:lpstr>et_ver_COLDVSNA_TARIFF_B_COLDVSNA</vt:lpstr>
      <vt:lpstr>et_ver_COLDVSNA_TARIFF_C_COLDVSNA</vt:lpstr>
      <vt:lpstr>et_ver_COLDVSNA_TARIFF_D_COLDVSNA</vt:lpstr>
      <vt:lpstr>et_ver_COLDVSNA_TARIFF_E_COLDVSNA</vt:lpstr>
      <vt:lpstr>et_ver_HEAT_TARIFF_A</vt:lpstr>
      <vt:lpstr>et_ver_HEAT_TARIFF_B</vt:lpstr>
      <vt:lpstr>et_ver_HEAT_TARIFF_C</vt:lpstr>
      <vt:lpstr>et_ver_HEAT_TARIFF_D</vt:lpstr>
      <vt:lpstr>et_ver_HEAT_TARIFF_E1</vt:lpstr>
      <vt:lpstr>et_ver_HEAT_TARIFF_E2</vt:lpstr>
      <vt:lpstr>et_ver_HEAT_TARIFF_F</vt:lpstr>
      <vt:lpstr>et_ver_HEAT_TARIFF_G</vt:lpstr>
      <vt:lpstr>et_ver_HEAT_TARIFF_H</vt:lpstr>
      <vt:lpstr>et_ver_HEAT_TARIFF_I</vt:lpstr>
      <vt:lpstr>et_ver_HEAT_TARIFF_I_1</vt:lpstr>
      <vt:lpstr>et_ver_HOTVSNA_TARIFF_A_HOTVSNA</vt:lpstr>
      <vt:lpstr>et_ver_HOTVSNA_TARIFF_B_HOTVSNA</vt:lpstr>
      <vt:lpstr>et_ver_HOTVSNA_TARIFF_C_HOTVSNA</vt:lpstr>
      <vt:lpstr>et_ver_IP_FIN_PLAN</vt:lpstr>
      <vt:lpstr>et_ver_IP_FIN_PLAN_YEAR</vt:lpstr>
      <vt:lpstr>et_ver_Q_LIMIT_DIFFERENTIATION</vt:lpstr>
      <vt:lpstr>et_ver_Q_PH_DIFFERENTIATION</vt:lpstr>
      <vt:lpstr>et_ver_Q_TP_DIFFERENTIATION</vt:lpstr>
      <vt:lpstr>et_ver_VOTV_TARIFF_A_VOTV</vt:lpstr>
      <vt:lpstr>et_ver_VOTV_TARIFF_B_VOTV</vt:lpstr>
      <vt:lpstr>et_ver_VOTV_TARIFF_C_VOTV</vt:lpstr>
      <vt:lpstr>et_VOTV_TARIFF_A_VOTV_CS</vt:lpstr>
      <vt:lpstr>et_VOTV_TARIFF_A_VOTV_DATA_DIFF</vt:lpstr>
      <vt:lpstr>et_VOTV_TARIFF_A_VOTV_FLAG_DIFF</vt:lpstr>
      <vt:lpstr>et_VOTV_TARIFF_A_VOTV_GC</vt:lpstr>
      <vt:lpstr>et_VOTV_TARIFF_A_VOTV_NTAR</vt:lpstr>
      <vt:lpstr>et_VOTV_TARIFF_A_VOTV_PERIOD_COLOR</vt:lpstr>
      <vt:lpstr>et_VOTV_TARIFF_A_VOTV_PERIOD_NOT_COLOR</vt:lpstr>
      <vt:lpstr>et_VOTV_TARIFF_A_VOTV_TER</vt:lpstr>
      <vt:lpstr>et_VOTV_TARIFF_A_VOTV_TN</vt:lpstr>
      <vt:lpstr>et_VOTV_TARIFF_B_VOTV_CS</vt:lpstr>
      <vt:lpstr>et_VOTV_TARIFF_B_VOTV_DATA_DIFF</vt:lpstr>
      <vt:lpstr>et_VOTV_TARIFF_B_VOTV_FLAG_DIFF</vt:lpstr>
      <vt:lpstr>et_VOTV_TARIFF_B_VOTV_GC</vt:lpstr>
      <vt:lpstr>et_VOTV_TARIFF_B_VOTV_NTAR</vt:lpstr>
      <vt:lpstr>et_VOTV_TARIFF_B_VOTV_PERIOD_COLOR</vt:lpstr>
      <vt:lpstr>et_VOTV_TARIFF_B_VOTV_PERIOD_NOT_COLOR</vt:lpstr>
      <vt:lpstr>et_VOTV_TARIFF_B_VOTV_TER</vt:lpstr>
      <vt:lpstr>et_VOTV_TARIFF_B_VOTV_TN</vt:lpstr>
      <vt:lpstr>et_VOTV_TARIFF_C_VOTV_CS</vt:lpstr>
      <vt:lpstr>et_VOTV_TARIFF_C_VOTV_DATA_DIFF</vt:lpstr>
      <vt:lpstr>et_VOTV_TARIFF_C_VOTV_DIAMETERS</vt:lpstr>
      <vt:lpstr>et_VOTV_TARIFF_C_VOTV_FLAG_DIFF</vt:lpstr>
      <vt:lpstr>et_VOTV_TARIFF_C_VOTV_GC</vt:lpstr>
      <vt:lpstr>et_VOTV_TARIFF_C_VOTV_LEN</vt:lpstr>
      <vt:lpstr>et_VOTV_TARIFF_C_VOTV_LOAD</vt:lpstr>
      <vt:lpstr>et_VOTV_TARIFF_C_VOTV_NETS</vt:lpstr>
      <vt:lpstr>et_VOTV_TARIFF_C_VOTV_NTAR</vt:lpstr>
      <vt:lpstr>et_VOTV_TARIFF_C_VOTV_PERIOD_COLOR</vt:lpstr>
      <vt:lpstr>et_VOTV_TARIFF_C_VOTV_PERIOD_NOT_COLOR</vt:lpstr>
      <vt:lpstr>et_VOTV_TARIFF_C_VOTV_TER</vt:lpstr>
      <vt:lpstr>f_quart</vt:lpstr>
      <vt:lpstr>f_year</vt:lpstr>
      <vt:lpstr>FHD_NAME_FORM</vt:lpstr>
      <vt:lpstr>FHD_NOTE_P_1</vt:lpstr>
      <vt:lpstr>FHD_NOTE_P_10</vt:lpstr>
      <vt:lpstr>FHD_NOTE_P_11</vt:lpstr>
      <vt:lpstr>FHD_NOTE_P_12</vt:lpstr>
      <vt:lpstr>FHD_NOTE_P_13</vt:lpstr>
      <vt:lpstr>FHD_NOTE_P_14</vt:lpstr>
      <vt:lpstr>FHD_NOTE_P_15</vt:lpstr>
      <vt:lpstr>FHD_NOTE_P_16</vt:lpstr>
      <vt:lpstr>FHD_NOTE_P_17</vt:lpstr>
      <vt:lpstr>FHD_NOTE_P_18</vt:lpstr>
      <vt:lpstr>FHD_NOTE_P_19</vt:lpstr>
      <vt:lpstr>FHD_NOTE_P_2</vt:lpstr>
      <vt:lpstr>FHD_NOTE_P_20</vt:lpstr>
      <vt:lpstr>FHD_NOTE_P_21</vt:lpstr>
      <vt:lpstr>FHD_NOTE_P_22</vt:lpstr>
      <vt:lpstr>FHD_NOTE_P_23</vt:lpstr>
      <vt:lpstr>FHD_NOTE_P_24</vt:lpstr>
      <vt:lpstr>FHD_NOTE_P_25</vt:lpstr>
      <vt:lpstr>FHD_NOTE_P_26</vt:lpstr>
      <vt:lpstr>FHD_NOTE_P_27</vt:lpstr>
      <vt:lpstr>FHD_NOTE_P_28</vt:lpstr>
      <vt:lpstr>FHD_NOTE_P_29</vt:lpstr>
      <vt:lpstr>FHD_NOTE_P_3</vt:lpstr>
      <vt:lpstr>FHD_NOTE_P_30</vt:lpstr>
      <vt:lpstr>FHD_NOTE_P_31</vt:lpstr>
      <vt:lpstr>FHD_NOTE_P_32</vt:lpstr>
      <vt:lpstr>FHD_NOTE_P_33</vt:lpstr>
      <vt:lpstr>FHD_NOTE_P_34</vt:lpstr>
      <vt:lpstr>FHD_NOTE_P_35</vt:lpstr>
      <vt:lpstr>FHD_NOTE_P_36</vt:lpstr>
      <vt:lpstr>FHD_NOTE_P_37</vt:lpstr>
      <vt:lpstr>FHD_NOTE_P_38</vt:lpstr>
      <vt:lpstr>FHD_NOTE_P_39</vt:lpstr>
      <vt:lpstr>FHD_NOTE_P_4</vt:lpstr>
      <vt:lpstr>FHD_NOTE_P_40</vt:lpstr>
      <vt:lpstr>FHD_NOTE_P_41</vt:lpstr>
      <vt:lpstr>FHD_NOTE_P_42</vt:lpstr>
      <vt:lpstr>FHD_NOTE_P_43</vt:lpstr>
      <vt:lpstr>FHD_NOTE_P_44</vt:lpstr>
      <vt:lpstr>FHD_NOTE_P_45</vt:lpstr>
      <vt:lpstr>FHD_NOTE_P_46</vt:lpstr>
      <vt:lpstr>FHD_NOTE_P_47</vt:lpstr>
      <vt:lpstr>FHD_NOTE_P_48</vt:lpstr>
      <vt:lpstr>FHD_NOTE_P_49</vt:lpstr>
      <vt:lpstr>FHD_NOTE_P_5</vt:lpstr>
      <vt:lpstr>FHD_NOTE_P_50</vt:lpstr>
      <vt:lpstr>FHD_NOTE_P_51</vt:lpstr>
      <vt:lpstr>FHD_NOTE_P_52</vt:lpstr>
      <vt:lpstr>FHD_NOTE_P_53</vt:lpstr>
      <vt:lpstr>FHD_NOTE_P_54</vt:lpstr>
      <vt:lpstr>FHD_NOTE_P_55</vt:lpstr>
      <vt:lpstr>FHD_NOTE_P_56</vt:lpstr>
      <vt:lpstr>FHD_NOTE_P_57</vt:lpstr>
      <vt:lpstr>FHD_NOTE_P_58</vt:lpstr>
      <vt:lpstr>FHD_NOTE_P_59</vt:lpstr>
      <vt:lpstr>FHD_NOTE_P_6</vt:lpstr>
      <vt:lpstr>FHD_NOTE_P_60</vt:lpstr>
      <vt:lpstr>FHD_NOTE_P_61</vt:lpstr>
      <vt:lpstr>FHD_NOTE_P_62</vt:lpstr>
      <vt:lpstr>FHD_NOTE_P_63</vt:lpstr>
      <vt:lpstr>FHD_NOTE_P_64</vt:lpstr>
      <vt:lpstr>FHD_NOTE_P_65</vt:lpstr>
      <vt:lpstr>FHD_NOTE_P_66</vt:lpstr>
      <vt:lpstr>FHD_NOTE_P_67</vt:lpstr>
      <vt:lpstr>FHD_NOTE_P_68</vt:lpstr>
      <vt:lpstr>FHD_NOTE_P_69</vt:lpstr>
      <vt:lpstr>FHD_NOTE_P_7</vt:lpstr>
      <vt:lpstr>FHD_NOTE_P_70</vt:lpstr>
      <vt:lpstr>FHD_NOTE_P_71</vt:lpstr>
      <vt:lpstr>FHD_NOTE_P_72</vt:lpstr>
      <vt:lpstr>FHD_NOTE_P_73</vt:lpstr>
      <vt:lpstr>FHD_NOTE_P_74</vt:lpstr>
      <vt:lpstr>FHD_NOTE_P_75</vt:lpstr>
      <vt:lpstr>FHD_NOTE_P_76</vt:lpstr>
      <vt:lpstr>FHD_NOTE_P_77</vt:lpstr>
      <vt:lpstr>FHD_NOTE_P_78</vt:lpstr>
      <vt:lpstr>FHD_NOTE_P_79</vt:lpstr>
      <vt:lpstr>FHD_NOTE_P_8</vt:lpstr>
      <vt:lpstr>FHD_NOTE_P_80</vt:lpstr>
      <vt:lpstr>FHD_NOTE_P_81</vt:lpstr>
      <vt:lpstr>FHD_NOTE_P_82</vt:lpstr>
      <vt:lpstr>FHD_NOTE_P_83</vt:lpstr>
      <vt:lpstr>FHD_NOTE_P_84</vt:lpstr>
      <vt:lpstr>FHD_NOTE_P_9</vt:lpstr>
      <vt:lpstr>FHD_NUM_P_1</vt:lpstr>
      <vt:lpstr>FHD_NUM_P_10</vt:lpstr>
      <vt:lpstr>FHD_NUM_P_11</vt:lpstr>
      <vt:lpstr>FHD_NUM_P_12</vt:lpstr>
      <vt:lpstr>FHD_NUM_P_13</vt:lpstr>
      <vt:lpstr>FHD_NUM_P_14</vt:lpstr>
      <vt:lpstr>FHD_NUM_P_15</vt:lpstr>
      <vt:lpstr>FHD_NUM_P_16</vt:lpstr>
      <vt:lpstr>FHD_NUM_P_17</vt:lpstr>
      <vt:lpstr>FHD_NUM_P_18</vt:lpstr>
      <vt:lpstr>FHD_NUM_P_19</vt:lpstr>
      <vt:lpstr>FHD_NUM_P_2</vt:lpstr>
      <vt:lpstr>FHD_NUM_P_20</vt:lpstr>
      <vt:lpstr>FHD_NUM_P_21</vt:lpstr>
      <vt:lpstr>FHD_NUM_P_22</vt:lpstr>
      <vt:lpstr>FHD_NUM_P_23</vt:lpstr>
      <vt:lpstr>FHD_NUM_P_24</vt:lpstr>
      <vt:lpstr>FHD_NUM_P_25</vt:lpstr>
      <vt:lpstr>FHD_NUM_P_26</vt:lpstr>
      <vt:lpstr>FHD_NUM_P_27</vt:lpstr>
      <vt:lpstr>FHD_NUM_P_28</vt:lpstr>
      <vt:lpstr>FHD_NUM_P_29</vt:lpstr>
      <vt:lpstr>FHD_NUM_P_3</vt:lpstr>
      <vt:lpstr>FHD_NUM_P_30</vt:lpstr>
      <vt:lpstr>FHD_NUM_P_31</vt:lpstr>
      <vt:lpstr>FHD_NUM_P_32</vt:lpstr>
      <vt:lpstr>FHD_NUM_P_33</vt:lpstr>
      <vt:lpstr>FHD_NUM_P_34</vt:lpstr>
      <vt:lpstr>FHD_NUM_P_35</vt:lpstr>
      <vt:lpstr>FHD_NUM_P_36</vt:lpstr>
      <vt:lpstr>FHD_NUM_P_37</vt:lpstr>
      <vt:lpstr>FHD_NUM_P_38</vt:lpstr>
      <vt:lpstr>FHD_NUM_P_39</vt:lpstr>
      <vt:lpstr>FHD_NUM_P_4</vt:lpstr>
      <vt:lpstr>FHD_NUM_P_40</vt:lpstr>
      <vt:lpstr>FHD_NUM_P_41</vt:lpstr>
      <vt:lpstr>FHD_NUM_P_42</vt:lpstr>
      <vt:lpstr>FHD_NUM_P_43</vt:lpstr>
      <vt:lpstr>FHD_NUM_P_44</vt:lpstr>
      <vt:lpstr>FHD_NUM_P_45</vt:lpstr>
      <vt:lpstr>FHD_NUM_P_46</vt:lpstr>
      <vt:lpstr>FHD_NUM_P_47</vt:lpstr>
      <vt:lpstr>FHD_NUM_P_48</vt:lpstr>
      <vt:lpstr>FHD_NUM_P_49</vt:lpstr>
      <vt:lpstr>FHD_NUM_P_5</vt:lpstr>
      <vt:lpstr>FHD_NUM_P_50</vt:lpstr>
      <vt:lpstr>FHD_NUM_P_51</vt:lpstr>
      <vt:lpstr>FHD_NUM_P_52</vt:lpstr>
      <vt:lpstr>FHD_NUM_P_53</vt:lpstr>
      <vt:lpstr>FHD_NUM_P_54</vt:lpstr>
      <vt:lpstr>FHD_NUM_P_55</vt:lpstr>
      <vt:lpstr>FHD_NUM_P_56</vt:lpstr>
      <vt:lpstr>FHD_NUM_P_57</vt:lpstr>
      <vt:lpstr>FHD_NUM_P_58</vt:lpstr>
      <vt:lpstr>FHD_NUM_P_59</vt:lpstr>
      <vt:lpstr>FHD_NUM_P_6</vt:lpstr>
      <vt:lpstr>FHD_NUM_P_60</vt:lpstr>
      <vt:lpstr>FHD_NUM_P_61</vt:lpstr>
      <vt:lpstr>FHD_NUM_P_62</vt:lpstr>
      <vt:lpstr>FHD_NUM_P_63</vt:lpstr>
      <vt:lpstr>FHD_NUM_P_64</vt:lpstr>
      <vt:lpstr>FHD_NUM_P_65</vt:lpstr>
      <vt:lpstr>FHD_NUM_P_66</vt:lpstr>
      <vt:lpstr>FHD_NUM_P_67</vt:lpstr>
      <vt:lpstr>FHD_NUM_P_68</vt:lpstr>
      <vt:lpstr>FHD_NUM_P_69</vt:lpstr>
      <vt:lpstr>FHD_NUM_P_7</vt:lpstr>
      <vt:lpstr>FHD_NUM_P_70</vt:lpstr>
      <vt:lpstr>FHD_NUM_P_71</vt:lpstr>
      <vt:lpstr>FHD_NUM_P_72</vt:lpstr>
      <vt:lpstr>FHD_NUM_P_73</vt:lpstr>
      <vt:lpstr>FHD_NUM_P_74</vt:lpstr>
      <vt:lpstr>FHD_NUM_P_75</vt:lpstr>
      <vt:lpstr>FHD_NUM_P_76</vt:lpstr>
      <vt:lpstr>FHD_NUM_P_77</vt:lpstr>
      <vt:lpstr>FHD_NUM_P_78</vt:lpstr>
      <vt:lpstr>FHD_NUM_P_79</vt:lpstr>
      <vt:lpstr>FHD_NUM_P_8</vt:lpstr>
      <vt:lpstr>FHD_NUM_P_80</vt:lpstr>
      <vt:lpstr>FHD_NUM_P_81</vt:lpstr>
      <vt:lpstr>FHD_NUM_P_82</vt:lpstr>
      <vt:lpstr>FHD_NUM_P_83</vt:lpstr>
      <vt:lpstr>FHD_NUM_P_84</vt:lpstr>
      <vt:lpstr>FHD_NUM_P_9</vt:lpstr>
      <vt:lpstr>FHD_NUM_P_A</vt:lpstr>
      <vt:lpstr>FHD_P_1</vt:lpstr>
      <vt:lpstr>FHD_P_10</vt:lpstr>
      <vt:lpstr>FHD_P_11</vt:lpstr>
      <vt:lpstr>FHD_P_12</vt:lpstr>
      <vt:lpstr>FHD_P_13</vt:lpstr>
      <vt:lpstr>FHD_P_14</vt:lpstr>
      <vt:lpstr>FHD_P_15</vt:lpstr>
      <vt:lpstr>FHD_P_16</vt:lpstr>
      <vt:lpstr>FHD_P_17</vt:lpstr>
      <vt:lpstr>FHD_P_18</vt:lpstr>
      <vt:lpstr>FHD_P_19</vt:lpstr>
      <vt:lpstr>FHD_P_2</vt:lpstr>
      <vt:lpstr>FHD_P_20</vt:lpstr>
      <vt:lpstr>FHD_P_21</vt:lpstr>
      <vt:lpstr>FHD_P_22</vt:lpstr>
      <vt:lpstr>FHD_P_23</vt:lpstr>
      <vt:lpstr>FHD_P_24</vt:lpstr>
      <vt:lpstr>FHD_P_25</vt:lpstr>
      <vt:lpstr>FHD_P_26</vt:lpstr>
      <vt:lpstr>FHD_P_27</vt:lpstr>
      <vt:lpstr>FHD_P_28</vt:lpstr>
      <vt:lpstr>FHD_P_29</vt:lpstr>
      <vt:lpstr>FHD_P_3</vt:lpstr>
      <vt:lpstr>FHD_P_30</vt:lpstr>
      <vt:lpstr>FHD_P_31</vt:lpstr>
      <vt:lpstr>FHD_P_32</vt:lpstr>
      <vt:lpstr>FHD_P_33</vt:lpstr>
      <vt:lpstr>FHD_P_34</vt:lpstr>
      <vt:lpstr>FHD_P_35</vt:lpstr>
      <vt:lpstr>FHD_P_36</vt:lpstr>
      <vt:lpstr>FHD_P_37</vt:lpstr>
      <vt:lpstr>FHD_P_38</vt:lpstr>
      <vt:lpstr>FHD_P_39</vt:lpstr>
      <vt:lpstr>FHD_P_4</vt:lpstr>
      <vt:lpstr>FHD_P_40</vt:lpstr>
      <vt:lpstr>FHD_P_41</vt:lpstr>
      <vt:lpstr>FHD_P_42</vt:lpstr>
      <vt:lpstr>FHD_P_43</vt:lpstr>
      <vt:lpstr>FHD_P_44</vt:lpstr>
      <vt:lpstr>FHD_P_45</vt:lpstr>
      <vt:lpstr>FHD_P_46</vt:lpstr>
      <vt:lpstr>FHD_P_47</vt:lpstr>
      <vt:lpstr>FHD_P_48</vt:lpstr>
      <vt:lpstr>FHD_P_49</vt:lpstr>
      <vt:lpstr>FHD_P_5</vt:lpstr>
      <vt:lpstr>FHD_P_50</vt:lpstr>
      <vt:lpstr>FHD_P_51</vt:lpstr>
      <vt:lpstr>FHD_P_52</vt:lpstr>
      <vt:lpstr>FHD_P_53</vt:lpstr>
      <vt:lpstr>FHD_P_54</vt:lpstr>
      <vt:lpstr>FHD_P_55</vt:lpstr>
      <vt:lpstr>FHD_P_56</vt:lpstr>
      <vt:lpstr>FHD_P_57</vt:lpstr>
      <vt:lpstr>FHD_P_58</vt:lpstr>
      <vt:lpstr>FHD_P_59</vt:lpstr>
      <vt:lpstr>FHD_P_6</vt:lpstr>
      <vt:lpstr>FHD_P_60</vt:lpstr>
      <vt:lpstr>FHD_P_61</vt:lpstr>
      <vt:lpstr>FHD_P_62</vt:lpstr>
      <vt:lpstr>FHD_P_63</vt:lpstr>
      <vt:lpstr>FHD_P_64</vt:lpstr>
      <vt:lpstr>FHD_P_65</vt:lpstr>
      <vt:lpstr>FHD_P_66</vt:lpstr>
      <vt:lpstr>FHD_P_67</vt:lpstr>
      <vt:lpstr>FHD_P_68</vt:lpstr>
      <vt:lpstr>FHD_P_69</vt:lpstr>
      <vt:lpstr>FHD_P_7</vt:lpstr>
      <vt:lpstr>FHD_P_70</vt:lpstr>
      <vt:lpstr>FHD_P_71</vt:lpstr>
      <vt:lpstr>FHD_P_72</vt:lpstr>
      <vt:lpstr>FHD_P_73</vt:lpstr>
      <vt:lpstr>FHD_P_74</vt:lpstr>
      <vt:lpstr>FHD_P_75</vt:lpstr>
      <vt:lpstr>FHD_P_76</vt:lpstr>
      <vt:lpstr>FHD_P_77</vt:lpstr>
      <vt:lpstr>FHD_P_78</vt:lpstr>
      <vt:lpstr>FHD_P_79</vt:lpstr>
      <vt:lpstr>FHD_P_8</vt:lpstr>
      <vt:lpstr>FHD_P_80</vt:lpstr>
      <vt:lpstr>FHD_P_81</vt:lpstr>
      <vt:lpstr>FHD_P_82</vt:lpstr>
      <vt:lpstr>FHD_P_83</vt:lpstr>
      <vt:lpstr>FHD_P_84</vt:lpstr>
      <vt:lpstr>FHD_P_9</vt:lpstr>
      <vt:lpstr>FHD_P_A</vt:lpstr>
      <vt:lpstr>FHD20_NAME_FORM</vt:lpstr>
      <vt:lpstr>fil</vt:lpstr>
      <vt:lpstr>flag_Q_LIMIT_p3</vt:lpstr>
      <vt:lpstr>flag_Q_LIMIT_p4</vt:lpstr>
      <vt:lpstr>HEAT_FIN_SRC_LIST</vt:lpstr>
      <vt:lpstr>HEAT_FIN_SRC_VLD_LIST</vt:lpstr>
      <vt:lpstr>HEAT_IP_EVENT_CI_STAGE_LIST</vt:lpstr>
      <vt:lpstr>HEAT_IP_EVENT_GROUP_LIST</vt:lpstr>
      <vt:lpstr>HEAT_IP_EVENT_SUBGROUP_1_LIST</vt:lpstr>
      <vt:lpstr>HEAT_IP_EVENT_SUBGROUP_3_LIST</vt:lpstr>
      <vt:lpstr>HEAT_IP_EVENT_SUBGROUP_5_LIST</vt:lpstr>
      <vt:lpstr>HEAT_IP_EVENT_TYPE_LIST</vt:lpstr>
      <vt:lpstr>HEAT_PT_SCHEME</vt:lpstr>
      <vt:lpstr>HEAT_PT_TARIFF_ID</vt:lpstr>
      <vt:lpstr>HEAT_PT_TARIFF_NAME</vt:lpstr>
      <vt:lpstr>HEAT_PT_TARIFF_NAME_LIST</vt:lpstr>
      <vt:lpstr>HEAT_PT_VED_ID</vt:lpstr>
      <vt:lpstr>HEAT_PT_VED_NAME</vt:lpstr>
      <vt:lpstr>HEAT_PT_VED_NAME_LIST</vt:lpstr>
      <vt:lpstr>HEAT_TARIFF_A_ADD_HL_COLUMN_MARKER</vt:lpstr>
      <vt:lpstr>HEAT_TARIFF_A_DEL_HL_GC_COLUMN_MARKER</vt:lpstr>
      <vt:lpstr>HEAT_TARIFF_A_DEL_HL_SCHEME_COLUMN_MARKER</vt:lpstr>
      <vt:lpstr>HEAT_TARIFF_A_DEL_HL_TN_COLUMN_MARKER</vt:lpstr>
      <vt:lpstr>HEAT_TARIFF_A_DELETE_PERIOD_ROW_MARKER</vt:lpstr>
      <vt:lpstr>HEAT_TARIFF_A_FLAG_BLOCK_COLUMN_MARKER</vt:lpstr>
      <vt:lpstr>HEAT_TARIFF_A_FLAG_BLOCK_ROW_MARKER</vt:lpstr>
      <vt:lpstr>HEAT_TARIFF_A_NUM_CS_COLUMN_MARKER</vt:lpstr>
      <vt:lpstr>HEAT_TARIFF_A_NUM_GC_COLUMN_MARKER</vt:lpstr>
      <vt:lpstr>HEAT_TARIFF_A_NUM_IST_TE_COLUMN_MARKER</vt:lpstr>
      <vt:lpstr>HEAT_TARIFF_A_NUM_NTAR_COLUMN_MARKER</vt:lpstr>
      <vt:lpstr>HEAT_TARIFF_A_NUM_SCHEME_COLUMN_MARKER</vt:lpstr>
      <vt:lpstr>HEAT_TARIFF_A_NUM_TER_COLUMN_MARKER</vt:lpstr>
      <vt:lpstr>HEAT_TARIFF_A_NUM_TN_COLUMN_MARKER</vt:lpstr>
      <vt:lpstr>HEAT_TARIFF_B_ADD_HL_COLUMN_MARKER</vt:lpstr>
      <vt:lpstr>HEAT_TARIFF_B_DEL_HL_GC_COLUMN_MARKER</vt:lpstr>
      <vt:lpstr>HEAT_TARIFF_B_DEL_HL_SCHEME_COLUMN_MARKER</vt:lpstr>
      <vt:lpstr>HEAT_TARIFF_B_DEL_HL_TN_COLUMN_MARKER</vt:lpstr>
      <vt:lpstr>HEAT_TARIFF_B_DELETE_PERIOD_ROW_MARKER</vt:lpstr>
      <vt:lpstr>HEAT_TARIFF_B_FLAG_BLOCK_COLUMN_MARKER</vt:lpstr>
      <vt:lpstr>HEAT_TARIFF_B_FLAG_BLOCK_ROW_MARKER</vt:lpstr>
      <vt:lpstr>HEAT_TARIFF_B_NUM_CS_COLUMN_MARKER</vt:lpstr>
      <vt:lpstr>HEAT_TARIFF_B_NUM_GC_COLUMN_MARKER</vt:lpstr>
      <vt:lpstr>HEAT_TARIFF_B_NUM_IST_TE_COLUMN_MARKER</vt:lpstr>
      <vt:lpstr>HEAT_TARIFF_B_NUM_NTAR_COLUMN_MARKER</vt:lpstr>
      <vt:lpstr>HEAT_TARIFF_B_NUM_SCHEME_COLUMN_MARKER</vt:lpstr>
      <vt:lpstr>HEAT_TARIFF_B_NUM_TER_COLUMN_MARKER</vt:lpstr>
      <vt:lpstr>HEAT_TARIFF_B_NUM_TN_COLUMN_MARKER</vt:lpstr>
      <vt:lpstr>HEAT_TARIFF_C_ADD_HL_COLUMN_MARKER</vt:lpstr>
      <vt:lpstr>HEAT_TARIFF_C_DEL_HL_GC_COLUMN_MARKER</vt:lpstr>
      <vt:lpstr>HEAT_TARIFF_C_DEL_HL_SCHEME_COLUMN_MARKER</vt:lpstr>
      <vt:lpstr>HEAT_TARIFF_C_DEL_HL_TN_COLUMN_MARKER</vt:lpstr>
      <vt:lpstr>HEAT_TARIFF_C_DELETE_PERIOD_ROW_MARKER</vt:lpstr>
      <vt:lpstr>HEAT_TARIFF_C_FLAG_BLOCK_COLUMN_MARKER</vt:lpstr>
      <vt:lpstr>HEAT_TARIFF_C_FLAG_BLOCK_ROW_MARKER</vt:lpstr>
      <vt:lpstr>HEAT_TARIFF_C_NUM_CS_COLUMN_MARKER</vt:lpstr>
      <vt:lpstr>HEAT_TARIFF_C_NUM_GC_COLUMN_MARKER</vt:lpstr>
      <vt:lpstr>HEAT_TARIFF_C_NUM_IST_TE_COLUMN_MARKER</vt:lpstr>
      <vt:lpstr>HEAT_TARIFF_C_NUM_NTAR_COLUMN_MARKER</vt:lpstr>
      <vt:lpstr>HEAT_TARIFF_C_NUM_SCHEME_COLUMN_MARKER</vt:lpstr>
      <vt:lpstr>HEAT_TARIFF_C_NUM_TER_COLUMN_MARKER</vt:lpstr>
      <vt:lpstr>HEAT_TARIFF_C_NUM_TN_COLUMN_MARKER</vt:lpstr>
      <vt:lpstr>HEAT_TARIFF_D_ADD_HL_COLUMN_MARKER</vt:lpstr>
      <vt:lpstr>HEAT_TARIFF_D_DEL_HL_CONS_COLUMN_MARKER</vt:lpstr>
      <vt:lpstr>HEAT_TARIFF_D_DEL_HL_GC_COLUMN_MARKER</vt:lpstr>
      <vt:lpstr>HEAT_TARIFF_D_DEL_HL_SCHEME_COLUMN_MARKER</vt:lpstr>
      <vt:lpstr>HEAT_TARIFF_D_DEL_HL_TN_COLUMN_MARKER</vt:lpstr>
      <vt:lpstr>HEAT_TARIFF_D_DELETE_PERIOD_ROW_MARKER</vt:lpstr>
      <vt:lpstr>HEAT_TARIFF_D_FLAG_BLOCK_COLUMN_MARKER</vt:lpstr>
      <vt:lpstr>HEAT_TARIFF_D_FLAG_BLOCK_ROW_MARKER</vt:lpstr>
      <vt:lpstr>HEAT_TARIFF_D_NUM_CONS_COLUMN_MARKER</vt:lpstr>
      <vt:lpstr>HEAT_TARIFF_D_NUM_CS_COLUMN_MARKER</vt:lpstr>
      <vt:lpstr>HEAT_TARIFF_D_NUM_GC_COLUMN_MARKER</vt:lpstr>
      <vt:lpstr>HEAT_TARIFF_D_NUM_IST_TE_COLUMN_MARKER</vt:lpstr>
      <vt:lpstr>HEAT_TARIFF_D_NUM_NTAR_COLUMN_MARKER</vt:lpstr>
      <vt:lpstr>HEAT_TARIFF_D_NUM_SCHEME_COLUMN_MARKER</vt:lpstr>
      <vt:lpstr>HEAT_TARIFF_D_NUM_TER_COLUMN_MARKER</vt:lpstr>
      <vt:lpstr>HEAT_TARIFF_D_NUM_TN_COLUMN_MARKER</vt:lpstr>
      <vt:lpstr>HEAT_TARIFF_E1_ADD_HL_COLUMN_MARKER</vt:lpstr>
      <vt:lpstr>HEAT_TARIFF_E1_DEL_HL_GC_COLUMN_MARKER</vt:lpstr>
      <vt:lpstr>HEAT_TARIFF_E1_DEL_HL_SCHEME_COLUMN_MARKER</vt:lpstr>
      <vt:lpstr>HEAT_TARIFF_E1_DEL_HL_TN_COLUMN_MARKER</vt:lpstr>
      <vt:lpstr>HEAT_TARIFF_E1_DELETE_PERIOD_ROW_MARKER</vt:lpstr>
      <vt:lpstr>HEAT_TARIFF_E1_FLAG_BLOCK_COLUMN_MARKER</vt:lpstr>
      <vt:lpstr>HEAT_TARIFF_E1_FLAG_BLOCK_ROW_MARKER</vt:lpstr>
      <vt:lpstr>HEAT_TARIFF_E1_NUM_CS_COLUMN_MARKER</vt:lpstr>
      <vt:lpstr>HEAT_TARIFF_E1_NUM_GC_COLUMN_MARKER</vt:lpstr>
      <vt:lpstr>HEAT_TARIFF_E1_NUM_IST_TE_COLUMN_MARKER</vt:lpstr>
      <vt:lpstr>HEAT_TARIFF_E1_NUM_NTAR_COLUMN_MARKER</vt:lpstr>
      <vt:lpstr>HEAT_TARIFF_E1_NUM_SCHEME_COLUMN_MARKER</vt:lpstr>
      <vt:lpstr>HEAT_TARIFF_E1_NUM_TER_COLUMN_MARKER</vt:lpstr>
      <vt:lpstr>HEAT_TARIFF_E1_NUM_TN_COLUMN_MARKER</vt:lpstr>
      <vt:lpstr>HEAT_TARIFF_E2_ADD_HL_COLUMN_MARKER</vt:lpstr>
      <vt:lpstr>HEAT_TARIFF_E2_DEL_HL_GC_COLUMN_MARKER</vt:lpstr>
      <vt:lpstr>HEAT_TARIFF_E2_DEL_HL_SCHEME_COLUMN_MARKER</vt:lpstr>
      <vt:lpstr>HEAT_TARIFF_E2_DEL_HL_TN_COLUMN_MARKER</vt:lpstr>
      <vt:lpstr>HEAT_TARIFF_E2_DELETE_PERIOD_ROW_MARKER</vt:lpstr>
      <vt:lpstr>HEAT_TARIFF_E2_FLAG_BLOCK_COLUMN_MARKER</vt:lpstr>
      <vt:lpstr>HEAT_TARIFF_E2_FLAG_BLOCK_ROW_MARKER</vt:lpstr>
      <vt:lpstr>HEAT_TARIFF_E2_NUM_CS_COLUMN_MARKER</vt:lpstr>
      <vt:lpstr>HEAT_TARIFF_E2_NUM_GC_COLUMN_MARKER</vt:lpstr>
      <vt:lpstr>HEAT_TARIFF_E2_NUM_IST_TE_COLUMN_MARKER</vt:lpstr>
      <vt:lpstr>HEAT_TARIFF_E2_NUM_NTAR_COLUMN_MARKER</vt:lpstr>
      <vt:lpstr>HEAT_TARIFF_E2_NUM_SCHEME_COLUMN_MARKER</vt:lpstr>
      <vt:lpstr>HEAT_TARIFF_E2_NUM_TER_COLUMN_MARKER</vt:lpstr>
      <vt:lpstr>HEAT_TARIFF_E2_NUM_TN_COLUMN_MARKER</vt:lpstr>
      <vt:lpstr>HEAT_TARIFF_F_ADD_HL_COLUMN_MARKER</vt:lpstr>
      <vt:lpstr>HEAT_TARIFF_F_DEL_HL_GC_COLUMN_MARKER</vt:lpstr>
      <vt:lpstr>HEAT_TARIFF_F_DEL_HL_SCHEME_COLUMN_MARKER</vt:lpstr>
      <vt:lpstr>HEAT_TARIFF_F_DEL_HL_TN_COLUMN_MARKER</vt:lpstr>
      <vt:lpstr>HEAT_TARIFF_F_DELETE_PERIOD_ROW_MARKER</vt:lpstr>
      <vt:lpstr>HEAT_TARIFF_F_FLAG_BLOCK_COLUMN_MARKER</vt:lpstr>
      <vt:lpstr>HEAT_TARIFF_F_FLAG_BLOCK_ROW_MARKER</vt:lpstr>
      <vt:lpstr>HEAT_TARIFF_F_NUM_CS_COLUMN_MARKER</vt:lpstr>
      <vt:lpstr>HEAT_TARIFF_F_NUM_GC_COLUMN_MARKER</vt:lpstr>
      <vt:lpstr>HEAT_TARIFF_F_NUM_IST_TE_COLUMN_MARKER</vt:lpstr>
      <vt:lpstr>HEAT_TARIFF_F_NUM_NTAR_COLUMN_MARKER</vt:lpstr>
      <vt:lpstr>HEAT_TARIFF_F_NUM_SCHEME_COLUMN_MARKER</vt:lpstr>
      <vt:lpstr>HEAT_TARIFF_F_NUM_TER_COLUMN_MARKER</vt:lpstr>
      <vt:lpstr>HEAT_TARIFF_F_NUM_TN_COLUMN_MARKER</vt:lpstr>
      <vt:lpstr>HEAT_TARIFF_G_ADD_HL_COLUMN_MARKER</vt:lpstr>
      <vt:lpstr>HEAT_TARIFF_G_ADD_HL_DIAMETERS_COLUMN_MARKER</vt:lpstr>
      <vt:lpstr>HEAT_TARIFF_G_ADD_HL_LOAD_COLUMN_MARKER</vt:lpstr>
      <vt:lpstr>HEAT_TARIFF_G_ADD_HL_NETS_COLUMN_MARKER</vt:lpstr>
      <vt:lpstr>HEAT_TARIFF_G_DEL_HL_DIAMETERS_COLUMN_MARKER</vt:lpstr>
      <vt:lpstr>HEAT_TARIFF_G_DEL_HL_GC_COLUMN_MARKER</vt:lpstr>
      <vt:lpstr>HEAT_TARIFF_G_DEL_HL_LOAD_COLUMN_MARKER</vt:lpstr>
      <vt:lpstr>HEAT_TARIFF_G_DEL_HL_NETS_COLUMN_MARKER</vt:lpstr>
      <vt:lpstr>HEAT_TARIFF_G_DEL_HL_SCHEME_COLUMN_MARKER</vt:lpstr>
      <vt:lpstr>HEAT_TARIFF_G_DEL_HL_TN_COLUMN_MARKER</vt:lpstr>
      <vt:lpstr>HEAT_TARIFF_G_DELETE_PERIOD_ROW_MARKER</vt:lpstr>
      <vt:lpstr>HEAT_TARIFF_G_FLAG_BLOCK_COLUMN_MARKER</vt:lpstr>
      <vt:lpstr>HEAT_TARIFF_G_FLAG_BLOCK_ROW_MARKER</vt:lpstr>
      <vt:lpstr>HEAT_TARIFF_G_NUM_CS_COLUMN_MARKER</vt:lpstr>
      <vt:lpstr>HEAT_TARIFF_G_NUM_DIAMETERS_COLUMN_MARKER</vt:lpstr>
      <vt:lpstr>HEAT_TARIFF_G_NUM_GC_COLUMN_MARKER</vt:lpstr>
      <vt:lpstr>HEAT_TARIFF_G_NUM_IST_TE_COLUMN_MARKER</vt:lpstr>
      <vt:lpstr>HEAT_TARIFF_G_NUM_LOAD_COLUMN_MARKER</vt:lpstr>
      <vt:lpstr>HEAT_TARIFF_G_NUM_NETS_COLUMN_MARKER</vt:lpstr>
      <vt:lpstr>HEAT_TARIFF_G_NUM_NTAR_COLUMN_MARKER</vt:lpstr>
      <vt:lpstr>HEAT_TARIFF_G_NUM_SCHEME_COLUMN_MARKER</vt:lpstr>
      <vt:lpstr>HEAT_TARIFF_G_NUM_TER_COLUMN_MARKER</vt:lpstr>
      <vt:lpstr>HEAT_TARIFF_G_NUM_TN_COLUMN_MARKER</vt:lpstr>
      <vt:lpstr>HEAT_TARIFF_H_ADD_HL_COLUMN_MARKER</vt:lpstr>
      <vt:lpstr>HEAT_TARIFF_H_ADD_HL_DIAMETERS_COLUMN_MARKER</vt:lpstr>
      <vt:lpstr>HEAT_TARIFF_H_ADD_HL_LOAD_COLUMN_MARKER</vt:lpstr>
      <vt:lpstr>HEAT_TARIFF_H_ADD_HL_NETS_COLUMN_MARKER</vt:lpstr>
      <vt:lpstr>HEAT_TARIFF_H_DEL_HL_DIAMETERS_COLUMN_MARKER</vt:lpstr>
      <vt:lpstr>HEAT_TARIFF_H_DEL_HL_GC_COLUMN_MARKER</vt:lpstr>
      <vt:lpstr>HEAT_TARIFF_H_DEL_HL_LOAD_COLUMN_MARKER</vt:lpstr>
      <vt:lpstr>HEAT_TARIFF_H_DEL_HL_NETS_COLUMN_MARKER</vt:lpstr>
      <vt:lpstr>HEAT_TARIFF_H_DEL_HL_SCHEME_COLUMN_MARKER</vt:lpstr>
      <vt:lpstr>HEAT_TARIFF_H_DEL_HL_TN_COLUMN_MARKER</vt:lpstr>
      <vt:lpstr>HEAT_TARIFF_H_DELETE_PERIOD_ROW_MARKER</vt:lpstr>
      <vt:lpstr>HEAT_TARIFF_H_FLAG_BLOCK_COLUMN_MARKER</vt:lpstr>
      <vt:lpstr>HEAT_TARIFF_H_FLAG_BLOCK_ROW_MARKER</vt:lpstr>
      <vt:lpstr>HEAT_TARIFF_H_NUM_CS_COLUMN_MARKER</vt:lpstr>
      <vt:lpstr>HEAT_TARIFF_H_NUM_DIAMETERS_COLUMN_MARKER</vt:lpstr>
      <vt:lpstr>HEAT_TARIFF_H_NUM_GC_COLUMN_MARKER</vt:lpstr>
      <vt:lpstr>HEAT_TARIFF_H_NUM_IST_TE_COLUMN_MARKER</vt:lpstr>
      <vt:lpstr>HEAT_TARIFF_H_NUM_LOAD_COLUMN_MARKER</vt:lpstr>
      <vt:lpstr>HEAT_TARIFF_H_NUM_NETS_COLUMN_MARKER</vt:lpstr>
      <vt:lpstr>HEAT_TARIFF_H_NUM_NTAR_COLUMN_MARKER</vt:lpstr>
      <vt:lpstr>HEAT_TARIFF_H_NUM_SCHEME_COLUMN_MARKER</vt:lpstr>
      <vt:lpstr>HEAT_TARIFF_H_NUM_TER_COLUMN_MARKER</vt:lpstr>
      <vt:lpstr>HEAT_TARIFF_H_NUM_TN_COLUMN_MARKER</vt:lpstr>
      <vt:lpstr>HEAT_TARIFF_I_1_ADD_HL_COLUMN_MARKER</vt:lpstr>
      <vt:lpstr>HEAT_TARIFF_I_1_DEL_HL_GC_COLUMN_MARKER</vt:lpstr>
      <vt:lpstr>HEAT_TARIFF_I_1_DEL_HL_SCHEME_COLUMN_MARKER</vt:lpstr>
      <vt:lpstr>HEAT_TARIFF_I_1_DEL_HL_TN_COLUMN_MARKER</vt:lpstr>
      <vt:lpstr>HEAT_TARIFF_I_1_DELETE_PERIOD_ROW_MARKER</vt:lpstr>
      <vt:lpstr>HEAT_TARIFF_I_1_FLAG_BLOCK_COLUMN_MARKER</vt:lpstr>
      <vt:lpstr>HEAT_TARIFF_I_1_FLAG_BLOCK_ROW_MARKER</vt:lpstr>
      <vt:lpstr>HEAT_TARIFF_I_1_NUM_CS_COLUMN_MARKER</vt:lpstr>
      <vt:lpstr>HEAT_TARIFF_I_1_NUM_GC_COLUMN_MARKER</vt:lpstr>
      <vt:lpstr>HEAT_TARIFF_I_1_NUM_IST_TE_COLUMN_MARKER</vt:lpstr>
      <vt:lpstr>HEAT_TARIFF_I_1_NUM_NTAR_COLUMN_MARKER</vt:lpstr>
      <vt:lpstr>HEAT_TARIFF_I_1_NUM_SCHEME_COLUMN_MARKER</vt:lpstr>
      <vt:lpstr>HEAT_TARIFF_I_1_NUM_TER_COLUMN_MARKER</vt:lpstr>
      <vt:lpstr>HEAT_TARIFF_I_1_NUM_TN_COLUMN_MARKER</vt:lpstr>
      <vt:lpstr>HEAT_TARIFF_I_ADD_HL_COLUMN_MARKER</vt:lpstr>
      <vt:lpstr>HEAT_TARIFF_I_DEL_HL_GC_COLUMN_MARKER</vt:lpstr>
      <vt:lpstr>HEAT_TARIFF_I_DEL_HL_SCHEME_COLUMN_MARKER</vt:lpstr>
      <vt:lpstr>HEAT_TARIFF_I_DEL_HL_TN_COLUMN_MARKER</vt:lpstr>
      <vt:lpstr>HEAT_TARIFF_I_DELETE_PERIOD_ROW_MARKER</vt:lpstr>
      <vt:lpstr>HEAT_TARIFF_I_FLAG_BLOCK_COLUMN_MARKER</vt:lpstr>
      <vt:lpstr>HEAT_TARIFF_I_FLAG_BLOCK_ROW_MARKER</vt:lpstr>
      <vt:lpstr>HEAT_TARIFF_I_NUM_CS_COLUMN_MARKER</vt:lpstr>
      <vt:lpstr>HEAT_TARIFF_I_NUM_GC_COLUMN_MARKER</vt:lpstr>
      <vt:lpstr>HEAT_TARIFF_I_NUM_IST_TE_COLUMN_MARKER</vt:lpstr>
      <vt:lpstr>HEAT_TARIFF_I_NUM_NTAR_COLUMN_MARKER</vt:lpstr>
      <vt:lpstr>HEAT_TARIFF_I_NUM_SCHEME_COLUMN_MARKER</vt:lpstr>
      <vt:lpstr>HEAT_TARIFF_I_NUM_TER_COLUMN_MARKER</vt:lpstr>
      <vt:lpstr>HEAT_TARIFF_I_NUM_TN_COLUMN_MARKER</vt:lpstr>
      <vt:lpstr>HOTVSNA_FIN_SRC_LIST</vt:lpstr>
      <vt:lpstr>HOTVSNA_FIN_SRC_VLD_LIST</vt:lpstr>
      <vt:lpstr>HOTVSNA_IP_EVENT_CI_STAGE_LIST</vt:lpstr>
      <vt:lpstr>HOTVSNA_IP_EVENT_GROUP_LIST</vt:lpstr>
      <vt:lpstr>HOTVSNA_IP_EVENT_SUBGROUP_1_LIST</vt:lpstr>
      <vt:lpstr>HOTVSNA_IP_EVENT_SUBGROUP_3_LIST</vt:lpstr>
      <vt:lpstr>HOTVSNA_IP_EVENT_SUBGROUP_5_LIST</vt:lpstr>
      <vt:lpstr>HOTVSNA_IP_EVENT_TYPE_LIST</vt:lpstr>
      <vt:lpstr>HOTVSNA_PT_VED_ID</vt:lpstr>
      <vt:lpstr>HOTVSNA_PT_VED_NAME</vt:lpstr>
      <vt:lpstr>HOTVSNA_PT_VED_NAME_LIST</vt:lpstr>
      <vt:lpstr>HOTVSNA_TARIFF_A_HOTVSNA_ADD_HL_COLUMN_MARKER</vt:lpstr>
      <vt:lpstr>HOTVSNA_TARIFF_A_HOTVSNA_DEL_HL_DATA_DIFF_COLUMN_MARKER</vt:lpstr>
      <vt:lpstr>HOTVSNA_TARIFF_A_HOTVSNA_DEL_HL_FLAG_DIFF_COLUMN_MARKER</vt:lpstr>
      <vt:lpstr>HOTVSNA_TARIFF_A_HOTVSNA_DEL_HL_GC_COLUMN_MARKER</vt:lpstr>
      <vt:lpstr>HOTVSNA_TARIFF_A_HOTVSNA_DELETE_PERIOD_ROW_MARKER</vt:lpstr>
      <vt:lpstr>HOTVSNA_TARIFF_A_HOTVSNA_FLAG_BLOCK_COLUMN_MARKER</vt:lpstr>
      <vt:lpstr>HOTVSNA_TARIFF_A_HOTVSNA_FLAG_BLOCK_ROW_MARKER</vt:lpstr>
      <vt:lpstr>HOTVSNA_TARIFF_A_HOTVSNA_NUM_CS_COLUMN_MARKER</vt:lpstr>
      <vt:lpstr>HOTVSNA_TARIFF_A_HOTVSNA_NUM_DATA_DIFF_COLUMN_MARKER</vt:lpstr>
      <vt:lpstr>HOTVSNA_TARIFF_A_HOTVSNA_NUM_FLAG_DIFF_COLUMN_MARKER</vt:lpstr>
      <vt:lpstr>HOTVSNA_TARIFF_A_HOTVSNA_NUM_GC_COLUMN_MARKER</vt:lpstr>
      <vt:lpstr>HOTVSNA_TARIFF_A_HOTVSNA_NUM_NTAR_COLUMN_MARKER</vt:lpstr>
      <vt:lpstr>HOTVSNA_TARIFF_A_HOTVSNA_NUM_TER_COLUMN_MARKER</vt:lpstr>
      <vt:lpstr>HOTVSNA_TARIFF_B_HOTVSNA_ADD_HL_COLUMN_MARKER</vt:lpstr>
      <vt:lpstr>HOTVSNA_TARIFF_B_HOTVSNA_DEL_HL_DATA_DIFF_COLUMN_MARKER</vt:lpstr>
      <vt:lpstr>HOTVSNA_TARIFF_B_HOTVSNA_DEL_HL_FLAG_DIFF_COLUMN_MARKER</vt:lpstr>
      <vt:lpstr>HOTVSNA_TARIFF_B_HOTVSNA_DEL_HL_GC_COLUMN_MARKER</vt:lpstr>
      <vt:lpstr>HOTVSNA_TARIFF_B_HOTVSNA_DELETE_PERIOD_ROW_MARKER</vt:lpstr>
      <vt:lpstr>HOTVSNA_TARIFF_B_HOTVSNA_FLAG_BLOCK_COLUMN_MARKER</vt:lpstr>
      <vt:lpstr>HOTVSNA_TARIFF_B_HOTVSNA_FLAG_BLOCK_ROW_MARKER</vt:lpstr>
      <vt:lpstr>HOTVSNA_TARIFF_B_HOTVSNA_NUM_CS_COLUMN_MARKER</vt:lpstr>
      <vt:lpstr>HOTVSNA_TARIFF_B_HOTVSNA_NUM_DATA_DIFF_COLUMN_MARKER</vt:lpstr>
      <vt:lpstr>HOTVSNA_TARIFF_B_HOTVSNA_NUM_FLAG_DIFF_COLUMN_MARKER</vt:lpstr>
      <vt:lpstr>HOTVSNA_TARIFF_B_HOTVSNA_NUM_GC_COLUMN_MARKER</vt:lpstr>
      <vt:lpstr>HOTVSNA_TARIFF_B_HOTVSNA_NUM_NTAR_COLUMN_MARKER</vt:lpstr>
      <vt:lpstr>HOTVSNA_TARIFF_B_HOTVSNA_NUM_TER_COLUMN_MARKER</vt:lpstr>
      <vt:lpstr>HOTVSNA_TARIFF_C_HOTVSNA_ADD_HL_COLUMN_MARKER</vt:lpstr>
      <vt:lpstr>HOTVSNA_TARIFF_C_HOTVSNA_ADD_HL_DIAMETERS_COLUMN_MARKER</vt:lpstr>
      <vt:lpstr>HOTVSNA_TARIFF_C_HOTVSNA_ADD_HL_LEN_COLUMN_MARKER</vt:lpstr>
      <vt:lpstr>HOTVSNA_TARIFF_C_HOTVSNA_ADD_HL_LOAD_COLUMN_MARKER</vt:lpstr>
      <vt:lpstr>HOTVSNA_TARIFF_C_HOTVSNA_ADD_HL_NETS_COLUMN_MARKER</vt:lpstr>
      <vt:lpstr>HOTVSNA_TARIFF_C_HOTVSNA_DEL_HL_DATA_DIFF_COLUMN_MARKER</vt:lpstr>
      <vt:lpstr>HOTVSNA_TARIFF_C_HOTVSNA_DEL_HL_DIAMETERS_COLUMN_MARKER</vt:lpstr>
      <vt:lpstr>HOTVSNA_TARIFF_C_HOTVSNA_DEL_HL_FLAG_DIFF_COLUMN_MARKER</vt:lpstr>
      <vt:lpstr>HOTVSNA_TARIFF_C_HOTVSNA_DEL_HL_GC_COLUMN_MARKER</vt:lpstr>
      <vt:lpstr>HOTVSNA_TARIFF_C_HOTVSNA_DEL_HL_LEN_COLUMN_MARKER</vt:lpstr>
      <vt:lpstr>HOTVSNA_TARIFF_C_HOTVSNA_DEL_HL_LOAD_COLUMN_MARKER</vt:lpstr>
      <vt:lpstr>HOTVSNA_TARIFF_C_HOTVSNA_DEL_HL_NETS_COLUMN_MARKER</vt:lpstr>
      <vt:lpstr>HOTVSNA_TARIFF_C_HOTVSNA_DELETE_PERIOD_ROW_MARKER</vt:lpstr>
      <vt:lpstr>HOTVSNA_TARIFF_C_HOTVSNA_FLAG_BLOCK_COLUMN_MARKER</vt:lpstr>
      <vt:lpstr>HOTVSNA_TARIFF_C_HOTVSNA_FLAG_BLOCK_ROW_MARKER</vt:lpstr>
      <vt:lpstr>HOTVSNA_TARIFF_C_HOTVSNA_NUM_CS_COLUMN_MARKER</vt:lpstr>
      <vt:lpstr>HOTVSNA_TARIFF_C_HOTVSNA_NUM_DATA_DIFF_COLUMN_MARKER</vt:lpstr>
      <vt:lpstr>HOTVSNA_TARIFF_C_HOTVSNA_NUM_DIAMETERS_COLUMN_MARKER</vt:lpstr>
      <vt:lpstr>HOTVSNA_TARIFF_C_HOTVSNA_NUM_FLAG_DIFF_COLUMN_MARKER</vt:lpstr>
      <vt:lpstr>HOTVSNA_TARIFF_C_HOTVSNA_NUM_GC_COLUMN_MARKER</vt:lpstr>
      <vt:lpstr>HOTVSNA_TARIFF_C_HOTVSNA_NUM_LEN_COLUMN_MARKER</vt:lpstr>
      <vt:lpstr>HOTVSNA_TARIFF_C_HOTVSNA_NUM_LOAD_COLUMN_MARKER</vt:lpstr>
      <vt:lpstr>HOTVSNA_TARIFF_C_HOTVSNA_NUM_NETS_COLUMN_MARKER</vt:lpstr>
      <vt:lpstr>HOTVSNA_TARIFF_C_HOTVSNA_NUM_NTAR_COLUMN_MARKER</vt:lpstr>
      <vt:lpstr>HOTVSNA_TARIFF_C_HOTVSNA_NUM_TER_COLUMN_MARKER</vt:lpstr>
      <vt:lpstr>Info_Diff</vt:lpstr>
      <vt:lpstr>Info_Diff1</vt:lpstr>
      <vt:lpstr>Info_FilFlag</vt:lpstr>
      <vt:lpstr>Info_ForMOInListMO</vt:lpstr>
      <vt:lpstr>Info_ForMRInListMO</vt:lpstr>
      <vt:lpstr>Info_ForSKIInListMO</vt:lpstr>
      <vt:lpstr>Info_ForSKINumberInListMO</vt:lpstr>
      <vt:lpstr>Info_NoteStandarts</vt:lpstr>
      <vt:lpstr>Info_NoUpdates</vt:lpstr>
      <vt:lpstr>Info_PeriodInTitle</vt:lpstr>
      <vt:lpstr>Info_PrDiff</vt:lpstr>
      <vt:lpstr>Info_PublicationNotDisclosed</vt:lpstr>
      <vt:lpstr>Info_PublicationPdf</vt:lpstr>
      <vt:lpstr>Info_PublicationWeb</vt:lpstr>
      <vt:lpstr>Info_T_Podkl</vt:lpstr>
      <vt:lpstr>Info_TarName</vt:lpstr>
      <vt:lpstr>Info_TerExcludeHelp_1</vt:lpstr>
      <vt:lpstr>Info_TerExcludeHelp_2</vt:lpstr>
      <vt:lpstr>Info_TitleFil</vt:lpstr>
      <vt:lpstr>Info_TitleFlagCrossSubsidization</vt:lpstr>
      <vt:lpstr>Info_TitleFlagIstPubl</vt:lpstr>
      <vt:lpstr>Info_TitleFlagTwoPartTariff</vt:lpstr>
      <vt:lpstr>Info_TitleGroupRates</vt:lpstr>
      <vt:lpstr>Info_TitleKindPublication</vt:lpstr>
      <vt:lpstr>Info_TitleKindsOfGoods</vt:lpstr>
      <vt:lpstr>Info_TitlePublication</vt:lpstr>
      <vt:lpstr>Info_TitleType</vt:lpstr>
      <vt:lpstr>inn</vt:lpstr>
      <vt:lpstr>IP_CLAIM_LIST</vt:lpstr>
      <vt:lpstr>IP_DETAILED_ADD_HL_EVENT_COLUMN_MARKER</vt:lpstr>
      <vt:lpstr>IP_DETAILED_ADD_HL_IST_FIN_COLUMN_MARKER</vt:lpstr>
      <vt:lpstr>IP_DETAILED_ADD_HL_OBJECT_COLUMN_MARKER</vt:lpstr>
      <vt:lpstr>IP_DETAILED_DATA_KS</vt:lpstr>
      <vt:lpstr>IP_DETAILED_EVENT_MARKER</vt:lpstr>
      <vt:lpstr>IP_DETAILED_EVENT_SUBGROUP_COLUMN_MARKER</vt:lpstr>
      <vt:lpstr>IP_DETAILED_EVENT_SUBGROUP_RANGE_COLUMN_MARKER</vt:lpstr>
      <vt:lpstr>IP_DETAILED_FLAG_KS</vt:lpstr>
      <vt:lpstr>IP_DETAILED_FLAG_OBJECT</vt:lpstr>
      <vt:lpstr>IP_DETAILED_GROUP_MARKER</vt:lpstr>
      <vt:lpstr>IP_DETAILED_IST_FIN_FACT_COLUMN_MARKER</vt:lpstr>
      <vt:lpstr>IP_DETAILED_LIST_IP_ID</vt:lpstr>
      <vt:lpstr>IP_DETAILED_MONTH_FACT_COLUMN_MARKER</vt:lpstr>
      <vt:lpstr>IP_DETAILED_MONTH_PLAN_COLUMN_MARKER</vt:lpstr>
      <vt:lpstr>IP_DETAILED_NAME_EVENT_COLUMN_MARKER</vt:lpstr>
      <vt:lpstr>IP_DETAILED_YEAR_FACT_COLUMN_MARKER</vt:lpstr>
      <vt:lpstr>IP_DETAILED_YEAR_PLAN_COLUMN_MARKER</vt:lpstr>
      <vt:lpstr>IP_FIN_PLAN_LIST_ID_MARKER_ROW</vt:lpstr>
      <vt:lpstr>IP_FIN_PLAN_NAME_IP_MARKER_ROW</vt:lpstr>
      <vt:lpstr>IP_FIN_PLAN_YEAR_MARKER_ROW</vt:lpstr>
      <vt:lpstr>IP_ID</vt:lpstr>
      <vt:lpstr>IP_MAIN_ADD_HL_PROPERTY_COLUMN_MARKER</vt:lpstr>
      <vt:lpstr>IP_MAIN_APPROVAL_DATE</vt:lpstr>
      <vt:lpstr>IP_MAIN_CHANGE_DATE</vt:lpstr>
      <vt:lpstr>IP_MAIN_CLAIM</vt:lpstr>
      <vt:lpstr>IP_MAIN_DATE_PARKING</vt:lpstr>
      <vt:lpstr>IP_MAIN_DELETE_HL_COLUMN_MARKER</vt:lpstr>
      <vt:lpstr>IP_MAIN_DIFFERENTIATION_EVENTS_FLAG</vt:lpstr>
      <vt:lpstr>IP_MAIN_END_DATE</vt:lpstr>
      <vt:lpstr>IP_MAIN_FLAG_KS</vt:lpstr>
      <vt:lpstr>IP_MAIN_FLAG_KS_COLUMN_MARKER</vt:lpstr>
      <vt:lpstr>IP_MAIN_IP_FIN_PLAN_VISIBLE_FLAG</vt:lpstr>
      <vt:lpstr>IP_MAIN_LIST_IP_ID</vt:lpstr>
      <vt:lpstr>IP_MAIN_LIST_NAME_IP</vt:lpstr>
      <vt:lpstr>IP_MAIN_PERIOD_REALIZ_DATE</vt:lpstr>
      <vt:lpstr>IP_MAIN_PR_IP_CHANGE_DATE</vt:lpstr>
      <vt:lpstr>IP_MAIN_PR_IP_DATE</vt:lpstr>
      <vt:lpstr>IP_MAIN_PR_IP_NAME</vt:lpstr>
      <vt:lpstr>IP_MAIN_PR_IP_NUMBER</vt:lpstr>
      <vt:lpstr>IP_MAIN_PR_IP_TYPE</vt:lpstr>
      <vt:lpstr>IP_MAIN_START_DATE</vt:lpstr>
      <vt:lpstr>IP_NAME_FORM</vt:lpstr>
      <vt:lpstr>IP_QRE_ADD_HL_CLAIM_COLUMN_MARKER</vt:lpstr>
      <vt:lpstr>IP_QRE_ADD_HL_COLUMN_MARKER</vt:lpstr>
      <vt:lpstr>IP_QRE_DELETE_HL_COLUMN_MARKER</vt:lpstr>
      <vt:lpstr>IP_QRE_LIST_IP_ID</vt:lpstr>
      <vt:lpstr>IP_QRE_NUM_COLUMN_MARKER</vt:lpstr>
      <vt:lpstr>IP_QRE_OTKO_FEATURES_BLOCK</vt:lpstr>
      <vt:lpstr>IP_QRE_VOTV_FEATURES_BLOCK</vt:lpstr>
      <vt:lpstr>IP_QRE_VSNA_FEATURES_BLOCK</vt:lpstr>
      <vt:lpstr>IP_QRE_WARM_FEATURES_BLOCK</vt:lpstr>
      <vt:lpstr>IST_TE_ID</vt:lpstr>
      <vt:lpstr>kind_group_rates</vt:lpstr>
      <vt:lpstr>kind_group_rates_load</vt:lpstr>
      <vt:lpstr>kind_group_rates_load_ETS</vt:lpstr>
      <vt:lpstr>kind_group_rates_load_filter</vt:lpstr>
      <vt:lpstr>kind_group_rates_load_filter_ETS</vt:lpstr>
      <vt:lpstr>kind_of_activity_WARM</vt:lpstr>
      <vt:lpstr>kind_of_cons</vt:lpstr>
      <vt:lpstr>kind_of_control_method</vt:lpstr>
      <vt:lpstr>kind_of_control_method_filter</vt:lpstr>
      <vt:lpstr>kind_of_data_type</vt:lpstr>
      <vt:lpstr>kind_of_diameters</vt:lpstr>
      <vt:lpstr>kind_of_diameters2</vt:lpstr>
      <vt:lpstr>kind_of_diff</vt:lpstr>
      <vt:lpstr>kind_of_fuel</vt:lpstr>
      <vt:lpstr>kind_of_fuels</vt:lpstr>
      <vt:lpstr>kind_of_heat_transfer</vt:lpstr>
      <vt:lpstr>kind_of_heat_transfer2</vt:lpstr>
      <vt:lpstr>kind_of_heat_transfer3</vt:lpstr>
      <vt:lpstr>kind_of_load</vt:lpstr>
      <vt:lpstr>kind_of_load2</vt:lpstr>
      <vt:lpstr>kind_of_load3</vt:lpstr>
      <vt:lpstr>kind_of_load4</vt:lpstr>
      <vt:lpstr>kind_of_NDS</vt:lpstr>
      <vt:lpstr>kind_of_NDS_tariff</vt:lpstr>
      <vt:lpstr>kind_of_NDS_tariff_people</vt:lpstr>
      <vt:lpstr>kind_of_nets</vt:lpstr>
      <vt:lpstr>kind_of_org_type</vt:lpstr>
      <vt:lpstr>kind_of_power_te_unit</vt:lpstr>
      <vt:lpstr>kind_of_publication</vt:lpstr>
      <vt:lpstr>kind_of_purchase_method</vt:lpstr>
      <vt:lpstr>kind_of_scheme_in</vt:lpstr>
      <vt:lpstr>kind_of_scheme_in2</vt:lpstr>
      <vt:lpstr>kind_of_tariff_RHEAT</vt:lpstr>
      <vt:lpstr>kind_of_tariff_unit</vt:lpstr>
      <vt:lpstr>kind_of_unit</vt:lpstr>
      <vt:lpstr>kind_of_volume_te_unit</vt:lpstr>
      <vt:lpstr>kind_of_zak</vt:lpstr>
      <vt:lpstr>KNE_NAME_FORM</vt:lpstr>
      <vt:lpstr>kpp</vt:lpstr>
      <vt:lpstr>LINK_RANGE</vt:lpstr>
      <vt:lpstr>List_H</vt:lpstr>
      <vt:lpstr>List_M</vt:lpstr>
      <vt:lpstr>LIST_MR_MO_OKTMO</vt:lpstr>
      <vt:lpstr>LIST_MR_MO_OKTMO_FILTER</vt:lpstr>
      <vt:lpstr>ListForms</vt:lpstr>
      <vt:lpstr>logical</vt:lpstr>
      <vt:lpstr>MONTH</vt:lpstr>
      <vt:lpstr>MONTH_IP_LIST</vt:lpstr>
      <vt:lpstr>nalog</vt:lpstr>
      <vt:lpstr>name_rates_4</vt:lpstr>
      <vt:lpstr>name_rates_4_filter</vt:lpstr>
      <vt:lpstr>name_rates_8</vt:lpstr>
      <vt:lpstr>name_rates_8_filter</vt:lpstr>
      <vt:lpstr>NameTemplatesInListMO</vt:lpstr>
      <vt:lpstr>NameTemplatesInTitle</vt:lpstr>
      <vt:lpstr>NameTemplatesInTitleList</vt:lpstr>
      <vt:lpstr>NTAR_ID</vt:lpstr>
      <vt:lpstr>OFFER_DPR</vt:lpstr>
      <vt:lpstr>OFFER_METHOD</vt:lpstr>
      <vt:lpstr>OFFER_METHOD_FLAG</vt:lpstr>
      <vt:lpstr>OFFER_TARIFF_A_1</vt:lpstr>
      <vt:lpstr>OFFER_TARIFF_A_2</vt:lpstr>
      <vt:lpstr>OFFER_TARIFF_A_3</vt:lpstr>
      <vt:lpstr>OFFER_TARIFF_A_4</vt:lpstr>
      <vt:lpstr>OFFER_TARIFF_A_5</vt:lpstr>
      <vt:lpstr>OFFER_TARIFF_A_COLDVSNA_1</vt:lpstr>
      <vt:lpstr>OFFER_TARIFF_A_COLDVSNA_2</vt:lpstr>
      <vt:lpstr>OFFER_TARIFF_A_COLDVSNA_3</vt:lpstr>
      <vt:lpstr>OFFER_TARIFF_A_COLDVSNA_4</vt:lpstr>
      <vt:lpstr>OFFER_TARIFF_A_COLDVSNA_5</vt:lpstr>
      <vt:lpstr>OFFER_TARIFF_A_HOTVSNA_1</vt:lpstr>
      <vt:lpstr>OFFER_TARIFF_A_HOTVSNA_2</vt:lpstr>
      <vt:lpstr>OFFER_TARIFF_A_HOTVSNA_3</vt:lpstr>
      <vt:lpstr>OFFER_TARIFF_A_HOTVSNA_4</vt:lpstr>
      <vt:lpstr>OFFER_TARIFF_A_HOTVSNA_5</vt:lpstr>
      <vt:lpstr>OFFER_TARIFF_A_VOTV_1</vt:lpstr>
      <vt:lpstr>OFFER_TARIFF_A_VOTV_2</vt:lpstr>
      <vt:lpstr>OFFER_TARIFF_A_VOTV_3</vt:lpstr>
      <vt:lpstr>OFFER_TARIFF_A_VOTV_4</vt:lpstr>
      <vt:lpstr>OFFER_TARIFF_A_VOTV_5</vt:lpstr>
      <vt:lpstr>OFFER_TARIFF_B_1</vt:lpstr>
      <vt:lpstr>OFFER_TARIFF_B_2</vt:lpstr>
      <vt:lpstr>OFFER_TARIFF_B_3</vt:lpstr>
      <vt:lpstr>OFFER_TARIFF_B_4</vt:lpstr>
      <vt:lpstr>OFFER_TARIFF_B_5</vt:lpstr>
      <vt:lpstr>OFFER_TARIFF_B_COLDVSNA_1</vt:lpstr>
      <vt:lpstr>OFFER_TARIFF_B_COLDVSNA_2</vt:lpstr>
      <vt:lpstr>OFFER_TARIFF_B_COLDVSNA_3</vt:lpstr>
      <vt:lpstr>OFFER_TARIFF_B_COLDVSNA_4</vt:lpstr>
      <vt:lpstr>OFFER_TARIFF_B_COLDVSNA_5</vt:lpstr>
      <vt:lpstr>OFFER_TARIFF_B_HOTVSNA_1</vt:lpstr>
      <vt:lpstr>OFFER_TARIFF_B_HOTVSNA_2</vt:lpstr>
      <vt:lpstr>OFFER_TARIFF_B_HOTVSNA_3</vt:lpstr>
      <vt:lpstr>OFFER_TARIFF_B_HOTVSNA_4</vt:lpstr>
      <vt:lpstr>OFFER_TARIFF_B_HOTVSNA_5</vt:lpstr>
      <vt:lpstr>OFFER_TARIFF_B_VOTV_1</vt:lpstr>
      <vt:lpstr>OFFER_TARIFF_B_VOTV_2</vt:lpstr>
      <vt:lpstr>OFFER_TARIFF_B_VOTV_3</vt:lpstr>
      <vt:lpstr>OFFER_TARIFF_B_VOTV_4</vt:lpstr>
      <vt:lpstr>OFFER_TARIFF_B_VOTV_5</vt:lpstr>
      <vt:lpstr>OFFER_TARIFF_C_1</vt:lpstr>
      <vt:lpstr>OFFER_TARIFF_C_2</vt:lpstr>
      <vt:lpstr>OFFER_TARIFF_C_3</vt:lpstr>
      <vt:lpstr>OFFER_TARIFF_C_4</vt:lpstr>
      <vt:lpstr>OFFER_TARIFF_C_5</vt:lpstr>
      <vt:lpstr>OFFER_TARIFF_C_COLDVSNA_1</vt:lpstr>
      <vt:lpstr>OFFER_TARIFF_C_COLDVSNA_2</vt:lpstr>
      <vt:lpstr>OFFER_TARIFF_C_COLDVSNA_3</vt:lpstr>
      <vt:lpstr>OFFER_TARIFF_C_COLDVSNA_4</vt:lpstr>
      <vt:lpstr>OFFER_TARIFF_C_COLDVSNA_5</vt:lpstr>
      <vt:lpstr>OFFER_TARIFF_C_HOTVSNA_1</vt:lpstr>
      <vt:lpstr>OFFER_TARIFF_C_HOTVSNA_2</vt:lpstr>
      <vt:lpstr>OFFER_TARIFF_C_HOTVSNA_3</vt:lpstr>
      <vt:lpstr>OFFER_TARIFF_C_HOTVSNA_4</vt:lpstr>
      <vt:lpstr>OFFER_TARIFF_C_HOTVSNA_5</vt:lpstr>
      <vt:lpstr>OFFER_TARIFF_C_VOTV_1</vt:lpstr>
      <vt:lpstr>OFFER_TARIFF_C_VOTV_2</vt:lpstr>
      <vt:lpstr>OFFER_TARIFF_C_VOTV_3</vt:lpstr>
      <vt:lpstr>OFFER_TARIFF_C_VOTV_4</vt:lpstr>
      <vt:lpstr>OFFER_TARIFF_C_VOTV_5</vt:lpstr>
      <vt:lpstr>OFFER_TARIFF_D_1</vt:lpstr>
      <vt:lpstr>OFFER_TARIFF_D_2</vt:lpstr>
      <vt:lpstr>OFFER_TARIFF_D_3</vt:lpstr>
      <vt:lpstr>OFFER_TARIFF_D_4</vt:lpstr>
      <vt:lpstr>OFFER_TARIFF_D_5</vt:lpstr>
      <vt:lpstr>OFFER_TARIFF_D_COLDVSNA_1</vt:lpstr>
      <vt:lpstr>OFFER_TARIFF_D_COLDVSNA_2</vt:lpstr>
      <vt:lpstr>OFFER_TARIFF_D_COLDVSNA_3</vt:lpstr>
      <vt:lpstr>OFFER_TARIFF_D_COLDVSNA_4</vt:lpstr>
      <vt:lpstr>OFFER_TARIFF_D_COLDVSNA_5</vt:lpstr>
      <vt:lpstr>OFFER_TARIFF_E_COLDVSNA_1</vt:lpstr>
      <vt:lpstr>OFFER_TARIFF_E_COLDVSNA_2</vt:lpstr>
      <vt:lpstr>OFFER_TARIFF_E_COLDVSNA_3</vt:lpstr>
      <vt:lpstr>OFFER_TARIFF_E_COLDVSNA_4</vt:lpstr>
      <vt:lpstr>OFFER_TARIFF_E_COLDVSNA_5</vt:lpstr>
      <vt:lpstr>OFFER_TARIFF_E1_1</vt:lpstr>
      <vt:lpstr>OFFER_TARIFF_E1_2</vt:lpstr>
      <vt:lpstr>OFFER_TARIFF_E1_3</vt:lpstr>
      <vt:lpstr>OFFER_TARIFF_E1_4</vt:lpstr>
      <vt:lpstr>OFFER_TARIFF_E1_5</vt:lpstr>
      <vt:lpstr>OFFER_TARIFF_E2_1</vt:lpstr>
      <vt:lpstr>OFFER_TARIFF_E2_2</vt:lpstr>
      <vt:lpstr>OFFER_TARIFF_E2_3</vt:lpstr>
      <vt:lpstr>OFFER_TARIFF_E2_4</vt:lpstr>
      <vt:lpstr>OFFER_TARIFF_E2_5</vt:lpstr>
      <vt:lpstr>OFFER_TARIFF_F_1</vt:lpstr>
      <vt:lpstr>OFFER_TARIFF_F_2</vt:lpstr>
      <vt:lpstr>OFFER_TARIFF_F_3</vt:lpstr>
      <vt:lpstr>OFFER_TARIFF_F_4</vt:lpstr>
      <vt:lpstr>OFFER_TARIFF_F_5</vt:lpstr>
      <vt:lpstr>OFFER_TARIFF_G_1</vt:lpstr>
      <vt:lpstr>OFFER_TARIFF_G_2</vt:lpstr>
      <vt:lpstr>OFFER_TARIFF_G_3</vt:lpstr>
      <vt:lpstr>OFFER_TARIFF_G_4</vt:lpstr>
      <vt:lpstr>OFFER_TARIFF_G_5</vt:lpstr>
      <vt:lpstr>OFFER_TARIFF_H_1</vt:lpstr>
      <vt:lpstr>org</vt:lpstr>
      <vt:lpstr>Org_Address</vt:lpstr>
      <vt:lpstr>ORG_END_DATE</vt:lpstr>
      <vt:lpstr>ORG_INFO_DATE_OGRN</vt:lpstr>
      <vt:lpstr>ORG_INFO_DATE_PARKING</vt:lpstr>
      <vt:lpstr>ORG_INFO_DATE_UNI_TS</vt:lpstr>
      <vt:lpstr>ORG_INFO_EMAIL</vt:lpstr>
      <vt:lpstr>ORG_INFO_ET</vt:lpstr>
      <vt:lpstr>ORG_INFO_ET_CYAN</vt:lpstr>
      <vt:lpstr>ORG_INFO_FLAG_INVEST</vt:lpstr>
      <vt:lpstr>ORG_INFO_NAME_FORM</vt:lpstr>
      <vt:lpstr>ORG_INFO_P_NOTE_MAIN</vt:lpstr>
      <vt:lpstr>ORG_INFO_RESP_EMAIL</vt:lpstr>
      <vt:lpstr>ORG_INFO_URL</vt:lpstr>
      <vt:lpstr>Org_main</vt:lpstr>
      <vt:lpstr>ORG_START_DATE</vt:lpstr>
      <vt:lpstr>ORG_TERRITORY_FIRST_MO</vt:lpstr>
      <vt:lpstr>ORG_TERRITORY_FLAG_INTERNET</vt:lpstr>
      <vt:lpstr>ORG_TERRITORY_LINK</vt:lpstr>
      <vt:lpstr>ORG_TERRITORY_NAME_COL</vt:lpstr>
      <vt:lpstr>ORG_TERRITORY_POINT_NUMBER_1</vt:lpstr>
      <vt:lpstr>ORG_VD_EM</vt:lpstr>
      <vt:lpstr>ORG_VD_FIRST_ROW</vt:lpstr>
      <vt:lpstr>ORG_VD_FIRST_SYSTEM</vt:lpstr>
      <vt:lpstr>ORG_VD_NAME_FORM</vt:lpstr>
      <vt:lpstr>ORG_VD_SYSTEM</vt:lpstr>
      <vt:lpstr>ORG_VD_TKO_ADD_HL_ACTIVITY_COLUMN_MARKER</vt:lpstr>
      <vt:lpstr>ORG_VD_TKO_ADD_HL_TYPE_OBJECT_COLUMN_MARKER</vt:lpstr>
      <vt:lpstr>ORG_VD_TKO_DEL_HL_ACTIVITY_COLUMN_MARKER</vt:lpstr>
      <vt:lpstr>ORG_VD_TKO_DEL_HL_TYPE_OBJECT_COLUMN_MARKER</vt:lpstr>
      <vt:lpstr>ORG_VD_TKO_VD</vt:lpstr>
      <vt:lpstr>ORG_VD_TKO_VD_ID</vt:lpstr>
      <vt:lpstr>ORG_VD_VD</vt:lpstr>
      <vt:lpstr>ORG_VD_VD_ID</vt:lpstr>
      <vt:lpstr>OTKO_FIN_SRC_LIST</vt:lpstr>
      <vt:lpstr>OTKO_FIN_SRC_VLD_LIST</vt:lpstr>
      <vt:lpstr>OTKO_IP_EVENT_CI_STAGE_LIST</vt:lpstr>
      <vt:lpstr>OTKO_IP_EVENT_GROUP_LIST</vt:lpstr>
      <vt:lpstr>OTKO_IP_EVENT_TYPE_LIST</vt:lpstr>
      <vt:lpstr>otv_lico_name</vt:lpstr>
      <vt:lpstr>P_T_TERMS_LINK</vt:lpstr>
      <vt:lpstr>pCng_P_T_TERMS_1</vt:lpstr>
      <vt:lpstr>pCng_P_T_TERMS_2</vt:lpstr>
      <vt:lpstr>pCng_P_T_TERMS_3</vt:lpstr>
      <vt:lpstr>pCng_P_T_TERMS_4</vt:lpstr>
      <vt:lpstr>pDel_B_STANDARTS</vt:lpstr>
      <vt:lpstr>pDel_CHANGE_INFO</vt:lpstr>
      <vt:lpstr>pDel_Comm</vt:lpstr>
      <vt:lpstr>pDel_DIFFERENTIATION_AREA</vt:lpstr>
      <vt:lpstr>pDel_DIFFERENTIATION_SYSTEM</vt:lpstr>
      <vt:lpstr>pDel_DIFFERENTIATION_VD</vt:lpstr>
      <vt:lpstr>pDel_ED</vt:lpstr>
      <vt:lpstr>pDel_IP_DETAILED_EVENT</vt:lpstr>
      <vt:lpstr>pDel_IP_DETAILED_IST_FIN</vt:lpstr>
      <vt:lpstr>pDel_IP_DETAILED_OBJECT</vt:lpstr>
      <vt:lpstr>pDel_IP_MAIN</vt:lpstr>
      <vt:lpstr>pDel_IP_MAIN_PROPERTY</vt:lpstr>
      <vt:lpstr>pDel_IP_QRE_CLAIM</vt:lpstr>
      <vt:lpstr>pDel_List07</vt:lpstr>
      <vt:lpstr>pDel_LT_AREA</vt:lpstr>
      <vt:lpstr>pDel_LT_MO</vt:lpstr>
      <vt:lpstr>pDel_ORG_INFO</vt:lpstr>
      <vt:lpstr>pDel_ORG_TERRITORY</vt:lpstr>
      <vt:lpstr>pDel_ORG_VD</vt:lpstr>
      <vt:lpstr>pDel_P_PROCEDURE_TC</vt:lpstr>
      <vt:lpstr>pDel_P_T_TERMS</vt:lpstr>
      <vt:lpstr>pDel_Q_LIMIT</vt:lpstr>
      <vt:lpstr>pDel_Q_TP</vt:lpstr>
      <vt:lpstr>pDel_R_B_Purch</vt:lpstr>
      <vt:lpstr>periodEnd</vt:lpstr>
      <vt:lpstr>PeriodIsEmpty</vt:lpstr>
      <vt:lpstr>PeriodIsEmptyList</vt:lpstr>
      <vt:lpstr>periodStart</vt:lpstr>
      <vt:lpstr>pHeader_B_FHD</vt:lpstr>
      <vt:lpstr>pHeader_B_FHD_TKO</vt:lpstr>
      <vt:lpstr>pHeader_B_FHD_TKO_TRANS</vt:lpstr>
      <vt:lpstr>pHeader_B_KNE</vt:lpstr>
      <vt:lpstr>pHeader_B_OTEP</vt:lpstr>
      <vt:lpstr>pHeader_Q_LIMIT</vt:lpstr>
      <vt:lpstr>pHeader_Q_PH</vt:lpstr>
      <vt:lpstr>pHeader_Q_TP</vt:lpstr>
      <vt:lpstr>pHeader_ver_B_FHD</vt:lpstr>
      <vt:lpstr>pHeader_ver_B_FHD_TKO</vt:lpstr>
      <vt:lpstr>pHeader_ver_B_FHD_TKO_TRANS</vt:lpstr>
      <vt:lpstr>pHeader_ver_B_KNE</vt:lpstr>
      <vt:lpstr>pHeader_ver_B_OTEP</vt:lpstr>
      <vt:lpstr>pHeader_ver_P_PROCEDURE_TC</vt:lpstr>
      <vt:lpstr>pHeader_ver_Q_LIMIT</vt:lpstr>
      <vt:lpstr>pIns_B_FHD_1</vt:lpstr>
      <vt:lpstr>pIns_B_FHD_2</vt:lpstr>
      <vt:lpstr>pIns_B_FHD_3</vt:lpstr>
      <vt:lpstr>pIns_B_FHD_4</vt:lpstr>
      <vt:lpstr>pIns_B_FHD_5</vt:lpstr>
      <vt:lpstr>pIns_B_FHD_6</vt:lpstr>
      <vt:lpstr>pIns_B_FHD_DIFFERENTIATION</vt:lpstr>
      <vt:lpstr>pIns_B_FHD_TKO_2</vt:lpstr>
      <vt:lpstr>pIns_B_FHD_TKO_DIFFERENTIATION</vt:lpstr>
      <vt:lpstr>pIns_B_FHD_TKO_TRANS_2</vt:lpstr>
      <vt:lpstr>pIns_B_FHD_TKO_TRANS_DIFFERENTIATION</vt:lpstr>
      <vt:lpstr>pIns_B_FHD20_DIFFERENTIATION</vt:lpstr>
      <vt:lpstr>pIns_B_KNE_DIFFERENTIATION</vt:lpstr>
      <vt:lpstr>pIns_B_OTEP_2</vt:lpstr>
      <vt:lpstr>pIns_B_OTEP_DIFFERENTIATION</vt:lpstr>
      <vt:lpstr>pIns_B_STANDARTS</vt:lpstr>
      <vt:lpstr>pIns_CHANGE_INFO</vt:lpstr>
      <vt:lpstr>pIns_Comm</vt:lpstr>
      <vt:lpstr>pIns_ED</vt:lpstr>
      <vt:lpstr>pIns_IP_DETAILED</vt:lpstr>
      <vt:lpstr>pIns_IP_FIN_PLAN</vt:lpstr>
      <vt:lpstr>pIns_IP_MAIN</vt:lpstr>
      <vt:lpstr>pIns_IP_QRE</vt:lpstr>
      <vt:lpstr>pIns_List07</vt:lpstr>
      <vt:lpstr>pIns_LT_AREA</vt:lpstr>
      <vt:lpstr>pIns_ORG_INFO_1</vt:lpstr>
      <vt:lpstr>pIns_ORG_INFO_2</vt:lpstr>
      <vt:lpstr>pIns_ORG_INFO_3</vt:lpstr>
      <vt:lpstr>pIns_ORG_TERRITORY</vt:lpstr>
      <vt:lpstr>pIns_ORG_VD_1</vt:lpstr>
      <vt:lpstr>pIns_ORG_VD_2</vt:lpstr>
      <vt:lpstr>pIns_ORG_VD_TKO_1</vt:lpstr>
      <vt:lpstr>pIns_P_PROCEDURE_TC_1</vt:lpstr>
      <vt:lpstr>pIns_P_PROCEDURE_TC_2</vt:lpstr>
      <vt:lpstr>pIns_P_PROCEDURE_TC_3</vt:lpstr>
      <vt:lpstr>pIns_P_PROCEDURE_TC_4</vt:lpstr>
      <vt:lpstr>pIns_P_PROCEDURE_TC_5</vt:lpstr>
      <vt:lpstr>pIns_P_T_TERMS_1</vt:lpstr>
      <vt:lpstr>pIns_P_T_TERMS_2</vt:lpstr>
      <vt:lpstr>pIns_P_T_TERMS_3</vt:lpstr>
      <vt:lpstr>pIns_P_T_TERMS_4</vt:lpstr>
      <vt:lpstr>pIns_PT_VTAR_A</vt:lpstr>
      <vt:lpstr>pIns_PT_VTAR_A_COLDVSNA</vt:lpstr>
      <vt:lpstr>pIns_PT_VTAR_A_COLDVSNA_OFFER_1</vt:lpstr>
      <vt:lpstr>pIns_PT_VTAR_A_COLDVSNA_OFFER_2</vt:lpstr>
      <vt:lpstr>pIns_PT_VTAR_A_COLDVSNA_OFFER_3</vt:lpstr>
      <vt:lpstr>pIns_PT_VTAR_A_COLDVSNA_OFFER_4</vt:lpstr>
      <vt:lpstr>pIns_PT_VTAR_A_COLDVSNA_OFFER_5</vt:lpstr>
      <vt:lpstr>pIns_PT_VTAR_A_COLDVSNA_OFFER5</vt:lpstr>
      <vt:lpstr>pIns_PT_VTAR_A_HOTVSNA</vt:lpstr>
      <vt:lpstr>pIns_PT_VTAR_A_HOTVSNA_OFFER_1</vt:lpstr>
      <vt:lpstr>pIns_PT_VTAR_A_HOTVSNA_OFFER_2</vt:lpstr>
      <vt:lpstr>pIns_PT_VTAR_A_HOTVSNA_OFFER_3</vt:lpstr>
      <vt:lpstr>pIns_PT_VTAR_A_HOTVSNA_OFFER_4</vt:lpstr>
      <vt:lpstr>pIns_PT_VTAR_A_HOTVSNA_OFFER_5</vt:lpstr>
      <vt:lpstr>pIns_PT_VTAR_A_OFFER_1</vt:lpstr>
      <vt:lpstr>pIns_PT_VTAR_A_OFFER_2</vt:lpstr>
      <vt:lpstr>pIns_PT_VTAR_A_OFFER_3</vt:lpstr>
      <vt:lpstr>pIns_PT_VTAR_A_OFFER_4</vt:lpstr>
      <vt:lpstr>pIns_PT_VTAR_A_OFFER_5</vt:lpstr>
      <vt:lpstr>pIns_PT_VTAR_A_VOTV</vt:lpstr>
      <vt:lpstr>pIns_PT_VTAR_A_VOTV_OFFER_1</vt:lpstr>
      <vt:lpstr>pIns_PT_VTAR_A_VOTV_OFFER_2</vt:lpstr>
      <vt:lpstr>pIns_PT_VTAR_A_VOTV_OFFER_3</vt:lpstr>
      <vt:lpstr>pIns_PT_VTAR_A_VOTV_OFFER_4</vt:lpstr>
      <vt:lpstr>pIns_PT_VTAR_A_VOTV_OFFER_5</vt:lpstr>
      <vt:lpstr>pIns_PT_VTAR_B</vt:lpstr>
      <vt:lpstr>pIns_PT_VTAR_B_COLDVSNA</vt:lpstr>
      <vt:lpstr>pIns_PT_VTAR_B_COLDVSNA_OFFER_1</vt:lpstr>
      <vt:lpstr>pIns_PT_VTAR_B_COLDVSNA_OFFER_2</vt:lpstr>
      <vt:lpstr>pIns_PT_VTAR_B_COLDVSNA_OFFER_3</vt:lpstr>
      <vt:lpstr>pIns_PT_VTAR_B_COLDVSNA_OFFER_4</vt:lpstr>
      <vt:lpstr>pIns_PT_VTAR_B_COLDVSNA_OFFER_5</vt:lpstr>
      <vt:lpstr>pIns_PT_VTAR_B_HOTVSNA</vt:lpstr>
      <vt:lpstr>pIns_PT_VTAR_B_HOTVSNA_OFFER_1</vt:lpstr>
      <vt:lpstr>pIns_PT_VTAR_B_HOTVSNA_OFFER_2</vt:lpstr>
      <vt:lpstr>pIns_PT_VTAR_B_HOTVSNA_OFFER_3</vt:lpstr>
      <vt:lpstr>pIns_PT_VTAR_B_HOTVSNA_OFFER_4</vt:lpstr>
      <vt:lpstr>pIns_PT_VTAR_B_HOTVSNA_OFFER_5</vt:lpstr>
      <vt:lpstr>pIns_PT_VTAR_B_OFFER_1</vt:lpstr>
      <vt:lpstr>pIns_PT_VTAR_B_OFFER_2</vt:lpstr>
      <vt:lpstr>pIns_PT_VTAR_B_OFFER_3</vt:lpstr>
      <vt:lpstr>pIns_PT_VTAR_B_OFFER_4</vt:lpstr>
      <vt:lpstr>pIns_PT_VTAR_B_OFFER_5</vt:lpstr>
      <vt:lpstr>pIns_PT_VTAR_B_VOTV</vt:lpstr>
      <vt:lpstr>pIns_PT_VTAR_B_VOTV_OFFER_1</vt:lpstr>
      <vt:lpstr>pIns_PT_VTAR_B_VOTV_OFFER_2</vt:lpstr>
      <vt:lpstr>pIns_PT_VTAR_B_VOTV_OFFER_3</vt:lpstr>
      <vt:lpstr>pIns_PT_VTAR_B_VOTV_OFFER_4</vt:lpstr>
      <vt:lpstr>pIns_PT_VTAR_B_VOTV_OFFER_5</vt:lpstr>
      <vt:lpstr>pIns_PT_VTAR_C</vt:lpstr>
      <vt:lpstr>pIns_PT_VTAR_C_COLDVSNA</vt:lpstr>
      <vt:lpstr>pIns_PT_VTAR_C_COLDVSNA_OFFER_1</vt:lpstr>
      <vt:lpstr>pIns_PT_VTAR_C_COLDVSNA_OFFER_2</vt:lpstr>
      <vt:lpstr>pIns_PT_VTAR_C_COLDVSNA_OFFER_3</vt:lpstr>
      <vt:lpstr>pIns_PT_VTAR_C_COLDVSNA_OFFER_4</vt:lpstr>
      <vt:lpstr>pIns_PT_VTAR_C_COLDVSNA_OFFER_5</vt:lpstr>
      <vt:lpstr>pIns_PT_VTAR_C_HOTVSNA</vt:lpstr>
      <vt:lpstr>pIns_PT_VTAR_C_HOTVSNA_OFFER_1</vt:lpstr>
      <vt:lpstr>pIns_PT_VTAR_C_HOTVSNA_OFFER_2</vt:lpstr>
      <vt:lpstr>pIns_PT_VTAR_C_HOTVSNA_OFFER_3</vt:lpstr>
      <vt:lpstr>pIns_PT_VTAR_C_HOTVSNA_OFFER_4</vt:lpstr>
      <vt:lpstr>pIns_PT_VTAR_C_HOTVSNA_OFFER_5</vt:lpstr>
      <vt:lpstr>pIns_PT_VTAR_C_OFFER_1</vt:lpstr>
      <vt:lpstr>pIns_PT_VTAR_C_OFFER_2</vt:lpstr>
      <vt:lpstr>pIns_PT_VTAR_C_OFFER_3</vt:lpstr>
      <vt:lpstr>pIns_PT_VTAR_C_OFFER_4</vt:lpstr>
      <vt:lpstr>pIns_PT_VTAR_C_OFFER_5</vt:lpstr>
      <vt:lpstr>pIns_PT_VTAR_C_VOTV</vt:lpstr>
      <vt:lpstr>pIns_PT_VTAR_C_VOTV_OFFER_1</vt:lpstr>
      <vt:lpstr>pIns_PT_VTAR_C_VOTV_OFFER_2</vt:lpstr>
      <vt:lpstr>pIns_PT_VTAR_C_VOTV_OFFER_3</vt:lpstr>
      <vt:lpstr>pIns_PT_VTAR_C_VOTV_OFFER_4</vt:lpstr>
      <vt:lpstr>pIns_PT_VTAR_C_VOTV_OFFER_5</vt:lpstr>
      <vt:lpstr>pIns_PT_VTAR_D</vt:lpstr>
      <vt:lpstr>pIns_PT_VTAR_D_COLDVSNA</vt:lpstr>
      <vt:lpstr>pIns_PT_VTAR_D_COLDVSNA_OFFER_1</vt:lpstr>
      <vt:lpstr>pIns_PT_VTAR_D_COLDVSNA_OFFER_2</vt:lpstr>
      <vt:lpstr>pIns_PT_VTAR_D_COLDVSNA_OFFER_3</vt:lpstr>
      <vt:lpstr>pIns_PT_VTAR_D_COLDVSNA_OFFER_4</vt:lpstr>
      <vt:lpstr>pIns_PT_VTAR_D_COLDVSNA_OFFER_5</vt:lpstr>
      <vt:lpstr>pIns_PT_VTAR_D_OFFER_1</vt:lpstr>
      <vt:lpstr>pIns_PT_VTAR_D_OFFER_2</vt:lpstr>
      <vt:lpstr>pIns_PT_VTAR_D_OFFER_3</vt:lpstr>
      <vt:lpstr>pIns_PT_VTAR_D_OFFER_4</vt:lpstr>
      <vt:lpstr>pIns_PT_VTAR_D_OFFER_5</vt:lpstr>
      <vt:lpstr>pIns_PT_VTAR_E_COLDVSNA</vt:lpstr>
      <vt:lpstr>pIns_PT_VTAR_E_COLDVSNA_OFFER_1</vt:lpstr>
      <vt:lpstr>pIns_PT_VTAR_E_COLDVSNA_OFFER_2</vt:lpstr>
      <vt:lpstr>pIns_PT_VTAR_E_COLDVSNA_OFFER_3</vt:lpstr>
      <vt:lpstr>pIns_PT_VTAR_E_COLDVSNA_OFFER_4</vt:lpstr>
      <vt:lpstr>pIns_PT_VTAR_E_COLDVSNA_OFFER_5</vt:lpstr>
      <vt:lpstr>pIns_PT_VTAR_E1</vt:lpstr>
      <vt:lpstr>pIns_PT_VTAR_E1_OFFER_1</vt:lpstr>
      <vt:lpstr>pIns_PT_VTAR_E1_OFFER_2</vt:lpstr>
      <vt:lpstr>pIns_PT_VTAR_E1_OFFER_3</vt:lpstr>
      <vt:lpstr>pIns_PT_VTAR_E1_OFFER_4</vt:lpstr>
      <vt:lpstr>pIns_PT_VTAR_E1_OFFER_5</vt:lpstr>
      <vt:lpstr>pIns_PT_VTAR_E2</vt:lpstr>
      <vt:lpstr>pIns_PT_VTAR_E2_OFFER_1</vt:lpstr>
      <vt:lpstr>pIns_PT_VTAR_E2_OFFER_2</vt:lpstr>
      <vt:lpstr>pIns_PT_VTAR_E2_OFFER_3</vt:lpstr>
      <vt:lpstr>pIns_PT_VTAR_E2_OFFER_4</vt:lpstr>
      <vt:lpstr>pIns_PT_VTAR_E2_OFFER_5</vt:lpstr>
      <vt:lpstr>pIns_PT_VTAR_F</vt:lpstr>
      <vt:lpstr>pIns_PT_VTAR_F_OFFER_1</vt:lpstr>
      <vt:lpstr>pIns_PT_VTAR_F_OFFER_2</vt:lpstr>
      <vt:lpstr>pIns_PT_VTAR_F_OFFER_3</vt:lpstr>
      <vt:lpstr>pIns_PT_VTAR_F_OFFER_4</vt:lpstr>
      <vt:lpstr>pIns_PT_VTAR_F_OFFER_5</vt:lpstr>
      <vt:lpstr>pIns_PT_VTAR_G</vt:lpstr>
      <vt:lpstr>pIns_PT_VTAR_G_OFFER_1</vt:lpstr>
      <vt:lpstr>pIns_PT_VTAR_G_OFFER_2</vt:lpstr>
      <vt:lpstr>pIns_PT_VTAR_G_OFFER_3</vt:lpstr>
      <vt:lpstr>pIns_PT_VTAR_G_OFFER_4</vt:lpstr>
      <vt:lpstr>pIns_PT_VTAR_G_OFFER_5</vt:lpstr>
      <vt:lpstr>pIns_PT_VTAR_H</vt:lpstr>
      <vt:lpstr>pIns_PT_VTAR_H_OFFER_1</vt:lpstr>
      <vt:lpstr>pIns_PT_VTAR_H_OFFER_2</vt:lpstr>
      <vt:lpstr>pIns_PT_VTAR_H_OFFER_3</vt:lpstr>
      <vt:lpstr>pIns_PT_VTAR_H_OFFER_4</vt:lpstr>
      <vt:lpstr>pIns_PT_VTAR_H_OFFER_5</vt:lpstr>
      <vt:lpstr>pIns_PT_VTAR_I</vt:lpstr>
      <vt:lpstr>pIns_PT_VTAR_I_1</vt:lpstr>
      <vt:lpstr>pIns_Q_LIMIT_1</vt:lpstr>
      <vt:lpstr>pIns_Q_LIMIT_2</vt:lpstr>
      <vt:lpstr>pIns_Q_LIMIT_3</vt:lpstr>
      <vt:lpstr>pIns_Q_LIMIT_4</vt:lpstr>
      <vt:lpstr>pIns_Q_LIMIT_DIFFERENTIATION</vt:lpstr>
      <vt:lpstr>pIns_Q_PH_DIFFERENTIATION</vt:lpstr>
      <vt:lpstr>pIns_Q_TP_1</vt:lpstr>
      <vt:lpstr>pIns_Q_TP_DIFFERENTIATION</vt:lpstr>
      <vt:lpstr>pIns_R_B_Purch_1</vt:lpstr>
      <vt:lpstr>pIns_ROIV_CASE_case</vt:lpstr>
      <vt:lpstr>pIns_ROIV_CASE_PUC_case</vt:lpstr>
      <vt:lpstr>pIns_ROIV_INFO_phone</vt:lpstr>
      <vt:lpstr>pIns_ROIV_ORG_org</vt:lpstr>
      <vt:lpstr>pIns_ROIV_OTV_org</vt:lpstr>
      <vt:lpstr>pIns_ver_COLDVSNA_TARIFF_A_COLDVSNA</vt:lpstr>
      <vt:lpstr>pIns_ver_COLDVSNA_TARIFF_B_COLDVSNA</vt:lpstr>
      <vt:lpstr>pIns_ver_COLDVSNA_TARIFF_C_COLDVSNA</vt:lpstr>
      <vt:lpstr>pIns_ver_COLDVSNA_TARIFF_D_COLDVSNA</vt:lpstr>
      <vt:lpstr>pIns_ver_COLDVSNA_TARIFF_E_COLDVSNA</vt:lpstr>
      <vt:lpstr>pIns_ver_HEAT_TARIFF_A</vt:lpstr>
      <vt:lpstr>pIns_ver_HEAT_TARIFF_B</vt:lpstr>
      <vt:lpstr>pIns_ver_HEAT_TARIFF_C</vt:lpstr>
      <vt:lpstr>pIns_ver_HEAT_TARIFF_D</vt:lpstr>
      <vt:lpstr>pIns_ver_HEAT_TARIFF_E1</vt:lpstr>
      <vt:lpstr>pIns_ver_HEAT_TARIFF_E2</vt:lpstr>
      <vt:lpstr>pIns_ver_HEAT_TARIFF_F</vt:lpstr>
      <vt:lpstr>pIns_ver_HEAT_TARIFF_G</vt:lpstr>
      <vt:lpstr>pIns_ver_HEAT_TARIFF_H</vt:lpstr>
      <vt:lpstr>pIns_ver_HEAT_TARIFF_I</vt:lpstr>
      <vt:lpstr>pIns_ver_HEAT_TARIFF_I_1</vt:lpstr>
      <vt:lpstr>pIns_ver_HOTVSNA_TARIFF_A_HOTVSNA</vt:lpstr>
      <vt:lpstr>pIns_ver_HOTVSNA_TARIFF_B_HOTVSNA</vt:lpstr>
      <vt:lpstr>pIns_ver_HOTVSNA_TARIFF_C_HOTVSNA</vt:lpstr>
      <vt:lpstr>pIns_ver_VOTV_TARIFF_A_VOTV</vt:lpstr>
      <vt:lpstr>pIns_ver_VOTV_TARIFF_B_VOTV</vt:lpstr>
      <vt:lpstr>pIns_ver_VOTV_TARIFF_C_VOTV</vt:lpstr>
      <vt:lpstr>pNote_LIMIT</vt:lpstr>
      <vt:lpstr>pNote_Q_PH</vt:lpstr>
      <vt:lpstr>pNum_Q_LIMIT</vt:lpstr>
      <vt:lpstr>PROCEDURE_TC_NAME_FORM</vt:lpstr>
      <vt:lpstr>PT_ADD_HL_CS_COLUMN_MARKER</vt:lpstr>
      <vt:lpstr>PT_ADD_HL_IST_TE_COLUMN_MARKER</vt:lpstr>
      <vt:lpstr>PT_ADD_HL_NTAR_COLUMN_MARKER</vt:lpstr>
      <vt:lpstr>PT_ADD_HL_TER_COLUMN_MARKER</vt:lpstr>
      <vt:lpstr>PT_ADD_HL_VTAR_COLUMN_MARKER</vt:lpstr>
      <vt:lpstr>pt_cs_1</vt:lpstr>
      <vt:lpstr>pt_cs_10</vt:lpstr>
      <vt:lpstr>pt_cs_11</vt:lpstr>
      <vt:lpstr>pt_cs_12</vt:lpstr>
      <vt:lpstr>pt_cs_13</vt:lpstr>
      <vt:lpstr>pt_cs_14</vt:lpstr>
      <vt:lpstr>pt_cs_15</vt:lpstr>
      <vt:lpstr>pt_cs_16</vt:lpstr>
      <vt:lpstr>pt_cs_17</vt:lpstr>
      <vt:lpstr>pt_cs_18</vt:lpstr>
      <vt:lpstr>pt_cs_19</vt:lpstr>
      <vt:lpstr>pt_cs_2</vt:lpstr>
      <vt:lpstr>pt_cs_20</vt:lpstr>
      <vt:lpstr>pt_cs_21</vt:lpstr>
      <vt:lpstr>pt_cs_21_1</vt:lpstr>
      <vt:lpstr>pt_cs_3</vt:lpstr>
      <vt:lpstr>pt_cs_4</vt:lpstr>
      <vt:lpstr>pt_cs_5</vt:lpstr>
      <vt:lpstr>pt_cs_6</vt:lpstr>
      <vt:lpstr>pt_cs_7</vt:lpstr>
      <vt:lpstr>pt_cs_8</vt:lpstr>
      <vt:lpstr>pt_cs_9</vt:lpstr>
      <vt:lpstr>PT_DEL_HL_CS_COLUMN_MARKER</vt:lpstr>
      <vt:lpstr>PT_DEL_HL_IST_TE_COLUMN_MARKER</vt:lpstr>
      <vt:lpstr>PT_DEL_HL_NTAR_COLUMN_MARKER</vt:lpstr>
      <vt:lpstr>PT_DEL_HL_TER_COLUMN_MARKER</vt:lpstr>
      <vt:lpstr>PT_DEL_HL_VTAR_COLUMN_MARKER</vt:lpstr>
      <vt:lpstr>PT_DIAMETERS_2_LIST</vt:lpstr>
      <vt:lpstr>PT_DIAMETERS_LIST</vt:lpstr>
      <vt:lpstr>PT_DIFFERENTIATION_CS</vt:lpstr>
      <vt:lpstr>PT_DIFFERENTIATION_CS_ID</vt:lpstr>
      <vt:lpstr>PT_DIFFERENTIATION_IST_TE</vt:lpstr>
      <vt:lpstr>PT_DIFFERENTIATION_IST_TE_ID</vt:lpstr>
      <vt:lpstr>PT_DIFFERENTIATION_NTAR</vt:lpstr>
      <vt:lpstr>PT_DIFFERENTIATION_NTAR_ID</vt:lpstr>
      <vt:lpstr>PT_DIFFERENTIATION_NUM_CS</vt:lpstr>
      <vt:lpstr>PT_DIFFERENTIATION_NUM_IST_TE</vt:lpstr>
      <vt:lpstr>PT_DIFFERENTIATION_NUM_NTAR</vt:lpstr>
      <vt:lpstr>PT_DIFFERENTIATION_NUM_TER</vt:lpstr>
      <vt:lpstr>PT_DIFFERENTIATION_TER</vt:lpstr>
      <vt:lpstr>PT_DIFFERENTIATION_TER_ID</vt:lpstr>
      <vt:lpstr>PT_DIFFERENTIATION_VDET</vt:lpstr>
      <vt:lpstr>PT_DIFFERENTIATION_VTAR</vt:lpstr>
      <vt:lpstr>PT_DIFFERENTIATION_VTAR_ID</vt:lpstr>
      <vt:lpstr>PT_FLAG_CS_COLUMN_MARKER</vt:lpstr>
      <vt:lpstr>PT_FLAG_IST_TE_COLUMN_MARKER</vt:lpstr>
      <vt:lpstr>PT_FLAG_TER_COLUMN_MARKER</vt:lpstr>
      <vt:lpstr>PT_FLAG_VTAR_COLUMN_MARKER</vt:lpstr>
      <vt:lpstr>PT_GROUP_CONSUMER_LIST</vt:lpstr>
      <vt:lpstr>PT_HEAT_PRICE_INDICATORS_LEVEL</vt:lpstr>
      <vt:lpstr>pt_ist_te_1</vt:lpstr>
      <vt:lpstr>pt_ist_te_2</vt:lpstr>
      <vt:lpstr>pt_ist_te_20</vt:lpstr>
      <vt:lpstr>pt_ist_te_21</vt:lpstr>
      <vt:lpstr>pt_ist_te_21_1</vt:lpstr>
      <vt:lpstr>pt_ist_te_3</vt:lpstr>
      <vt:lpstr>pt_ist_te_4</vt:lpstr>
      <vt:lpstr>pt_ist_te_5</vt:lpstr>
      <vt:lpstr>pt_ist_te_6</vt:lpstr>
      <vt:lpstr>pt_ist_te_7</vt:lpstr>
      <vt:lpstr>pt_ist_te_8</vt:lpstr>
      <vt:lpstr>PT_LOAD_LIST</vt:lpstr>
      <vt:lpstr>PT_NETS_LIST</vt:lpstr>
      <vt:lpstr>pt_ntar_1</vt:lpstr>
      <vt:lpstr>pt_ntar_10</vt:lpstr>
      <vt:lpstr>pt_ntar_11</vt:lpstr>
      <vt:lpstr>pt_ntar_12</vt:lpstr>
      <vt:lpstr>pt_ntar_13</vt:lpstr>
      <vt:lpstr>pt_ntar_14</vt:lpstr>
      <vt:lpstr>pt_ntar_15</vt:lpstr>
      <vt:lpstr>pt_ntar_16</vt:lpstr>
      <vt:lpstr>pt_ntar_17</vt:lpstr>
      <vt:lpstr>pt_ntar_18</vt:lpstr>
      <vt:lpstr>pt_ntar_19</vt:lpstr>
      <vt:lpstr>pt_ntar_2</vt:lpstr>
      <vt:lpstr>pt_ntar_20</vt:lpstr>
      <vt:lpstr>pt_ntar_21</vt:lpstr>
      <vt:lpstr>pt_ntar_21_1</vt:lpstr>
      <vt:lpstr>pt_ntar_3</vt:lpstr>
      <vt:lpstr>pt_ntar_4</vt:lpstr>
      <vt:lpstr>pt_ntar_5</vt:lpstr>
      <vt:lpstr>pt_ntar_6</vt:lpstr>
      <vt:lpstr>pt_ntar_7</vt:lpstr>
      <vt:lpstr>pt_ntar_8</vt:lpstr>
      <vt:lpstr>pt_ntar_9</vt:lpstr>
      <vt:lpstr>PT_P_FORM_COLDVSNA_4_NAME_FORM</vt:lpstr>
      <vt:lpstr>PT_P_FORM_COLDVSNA_5_NAME_FORM</vt:lpstr>
      <vt:lpstr>PT_P_FORM_HEAT_21_NAME_FORM</vt:lpstr>
      <vt:lpstr>PT_P_FORM_HEAT_22_NAME_FORM</vt:lpstr>
      <vt:lpstr>PT_P_FORM_HEAT_4_NAME_FORM</vt:lpstr>
      <vt:lpstr>PT_P_FORM_HEAT_5_NAME_FORM</vt:lpstr>
      <vt:lpstr>PT_P_FORM_HEAT_6_NAME_FORM</vt:lpstr>
      <vt:lpstr>PT_P_FORM_HEAT_7_NAME_FORM</vt:lpstr>
      <vt:lpstr>PT_P_FORM_HOTVSNA_4_NAME_FORM</vt:lpstr>
      <vt:lpstr>PT_P_FORM_HOTVSNA_5_NAME_FORM</vt:lpstr>
      <vt:lpstr>PT_P_FORM_VOTV_4_NAME_FORM</vt:lpstr>
      <vt:lpstr>PT_P_FORM_VOTV_5_NAME_FORM</vt:lpstr>
      <vt:lpstr>PT_R_FORM_COLDVSNA_16_NAME_FORM</vt:lpstr>
      <vt:lpstr>PT_R_FORM_COLDVSNA_17_NAME_FORM</vt:lpstr>
      <vt:lpstr>PT_R_FORM_HEAT_21_NAME_FORM</vt:lpstr>
      <vt:lpstr>PT_R_FORM_HEAT_22_NAME_FORM</vt:lpstr>
      <vt:lpstr>PT_R_FORM_HEAT_23_NAME_FORM</vt:lpstr>
      <vt:lpstr>PT_R_FORM_HEAT_24_NAME_FORM</vt:lpstr>
      <vt:lpstr>PT_R_FORM_HOTVSNA_16_NAME_FORM</vt:lpstr>
      <vt:lpstr>PT_R_FORM_HOTVSNA_17_NAME_FORM</vt:lpstr>
      <vt:lpstr>PT_R_FORM_VOTV_16_NAME_FORM</vt:lpstr>
      <vt:lpstr>PT_R_FORM_VOTV_17_NAME_FORM</vt:lpstr>
      <vt:lpstr>PT_SCHEME_LIST</vt:lpstr>
      <vt:lpstr>pt_ter_1</vt:lpstr>
      <vt:lpstr>pt_ter_10</vt:lpstr>
      <vt:lpstr>pt_ter_11</vt:lpstr>
      <vt:lpstr>pt_ter_12</vt:lpstr>
      <vt:lpstr>pt_ter_13</vt:lpstr>
      <vt:lpstr>pt_ter_14</vt:lpstr>
      <vt:lpstr>pt_ter_15</vt:lpstr>
      <vt:lpstr>pt_ter_16</vt:lpstr>
      <vt:lpstr>pt_ter_17</vt:lpstr>
      <vt:lpstr>pt_ter_18</vt:lpstr>
      <vt:lpstr>pt_ter_19</vt:lpstr>
      <vt:lpstr>pt_ter_2</vt:lpstr>
      <vt:lpstr>pt_ter_20</vt:lpstr>
      <vt:lpstr>pt_ter_21</vt:lpstr>
      <vt:lpstr>pt_ter_21_1</vt:lpstr>
      <vt:lpstr>pt_ter_3</vt:lpstr>
      <vt:lpstr>pt_ter_4</vt:lpstr>
      <vt:lpstr>pt_ter_5</vt:lpstr>
      <vt:lpstr>pt_ter_6</vt:lpstr>
      <vt:lpstr>pt_ter_7</vt:lpstr>
      <vt:lpstr>pt_ter_8</vt:lpstr>
      <vt:lpstr>pt_ter_9</vt:lpstr>
      <vt:lpstr>PT_TN_LIST</vt:lpstr>
      <vt:lpstr>PT_VDET_COLUMN_MARKER</vt:lpstr>
      <vt:lpstr>PURCH_NAME_FORM</vt:lpstr>
      <vt:lpstr>Q_LIMIT_CheckC</vt:lpstr>
      <vt:lpstr>Q_LIMIT_diff_1</vt:lpstr>
      <vt:lpstr>Q_LIMIT_p3</vt:lpstr>
      <vt:lpstr>Q_LIMIT_p4</vt:lpstr>
      <vt:lpstr>Q_PH_diff_1</vt:lpstr>
      <vt:lpstr>Q_TP_COUNT_REFUSAL</vt:lpstr>
      <vt:lpstr>Q_TP_diff_1</vt:lpstr>
      <vt:lpstr>QRE_METHOD_LIST</vt:lpstr>
      <vt:lpstr>QUARTER</vt:lpstr>
      <vt:lpstr>R_OFFER_ADD_PERIOD_HL_COLUMN_MARKER</vt:lpstr>
      <vt:lpstr>R_OFFER_CHANGE_HL_COLUMN_MARKER</vt:lpstr>
      <vt:lpstr>R_OFFER_DEL_HL_COLUMN_MARKER</vt:lpstr>
      <vt:lpstr>R_OFFER_FLAG_HL_COLUMN_MARKER</vt:lpstr>
      <vt:lpstr>REESTR_LINK_RANGE</vt:lpstr>
      <vt:lpstr>REESTR_VT_RANGE</vt:lpstr>
      <vt:lpstr>REGION</vt:lpstr>
      <vt:lpstr>region_name</vt:lpstr>
      <vt:lpstr>RegulatoryPeriod</vt:lpstr>
      <vt:lpstr>ReportPeriod</vt:lpstr>
      <vt:lpstr>ROIV_CASE_ADD_HL_CASE_COLUMN_MARKER</vt:lpstr>
      <vt:lpstr>ROIV_CASE_DATE</vt:lpstr>
      <vt:lpstr>ROIV_CASE_DEL_HL_CASE_COLUMN_MARKER</vt:lpstr>
      <vt:lpstr>ROIV_CASE_NUM_CASE_COLUMN_MARKER</vt:lpstr>
      <vt:lpstr>ROIV_CASE_PROTOKOL</vt:lpstr>
      <vt:lpstr>ROIV_CASE_PROTOKOL_ET</vt:lpstr>
      <vt:lpstr>ROIV_CASE_PUC_ADD_HL_CASE_COLUMN_MARKER</vt:lpstr>
      <vt:lpstr>ROIV_CASE_PUC_DATE</vt:lpstr>
      <vt:lpstr>ROIV_CASE_PUC_DEL_HL_CASE_COLUMN_MARKER</vt:lpstr>
      <vt:lpstr>ROIV_CASE_PUC_NUM_CASE_COLUMN_MARKER</vt:lpstr>
      <vt:lpstr>ROIV_CASE_PUC_PROTOKOL</vt:lpstr>
      <vt:lpstr>ROIV_CASE_PUC_PROTOKOL_ET</vt:lpstr>
      <vt:lpstr>ROIV_CASE_PUC_RESH</vt:lpstr>
      <vt:lpstr>ROIV_CASE_PUC_RESH_ET</vt:lpstr>
      <vt:lpstr>ROIV_CASE_RESH</vt:lpstr>
      <vt:lpstr>ROIV_CASE_RESH_ET</vt:lpstr>
      <vt:lpstr>ROIV_INFO_COMMENT</vt:lpstr>
      <vt:lpstr>ROIV_INFO_COMMENT_HEAT</vt:lpstr>
      <vt:lpstr>ROIV_INFO_COMMENT_NO_HEAT</vt:lpstr>
      <vt:lpstr>ROIV_INFO_DEL_HL_PHONE_COLUMN_MARKER</vt:lpstr>
      <vt:lpstr>ROIV_INFO_DOKLAD</vt:lpstr>
      <vt:lpstr>ROIV_INFO_LIST</vt:lpstr>
      <vt:lpstr>ROIV_INFO_LIST_HEAT</vt:lpstr>
      <vt:lpstr>ROIV_INFO_LIST_NO_HEAT</vt:lpstr>
      <vt:lpstr>ROIV_INFO_NAME</vt:lpstr>
      <vt:lpstr>ROIV_INFO_NUM_PHONE_COLUMN_MARKER</vt:lpstr>
      <vt:lpstr>ROIV_ORG_DEL_HL_ORG_COLUMN_MARKER</vt:lpstr>
      <vt:lpstr>ROIV_ORG_INN_COLUMN_MARKER</vt:lpstr>
      <vt:lpstr>ROIV_ORG_KPP_COLUMN_MARKER</vt:lpstr>
      <vt:lpstr>ROIV_ORG_NAME_ORG_COLUMN_MARKER</vt:lpstr>
      <vt:lpstr>ROIV_ORG_NUM_ORG_COLUMN_MARKER</vt:lpstr>
      <vt:lpstr>ROIV_ORG_TECH_ORG_ID</vt:lpstr>
      <vt:lpstr>ROIV_ORG_TECH_ORG_ID_COLUMN_MARKER</vt:lpstr>
      <vt:lpstr>ROIV_OTV_ADD_HL_DL_COLUMN_MARKER</vt:lpstr>
      <vt:lpstr>ROIV_OTV_DEL_HL_DL_COLUMN_MARKER</vt:lpstr>
      <vt:lpstr>ROIV_OTV_DEL_HL_ORG_COLUMN_MARKER</vt:lpstr>
      <vt:lpstr>ROIV_OTV_INN_COLUMN_MARKER</vt:lpstr>
      <vt:lpstr>ROIV_OTV_NAME_ORG_COLUMN_MARKER</vt:lpstr>
      <vt:lpstr>ROIV_OTV_NUM_DL_COLUMN_MARKER</vt:lpstr>
      <vt:lpstr>ROIV_OTV_NUM_ORG_COLUMN_MARKER</vt:lpstr>
      <vt:lpstr>ROIV_OTV_TECH_ORG_ID_COLUMN_MARKER</vt:lpstr>
      <vt:lpstr>RST_ORG_ID</vt:lpstr>
      <vt:lpstr>SKI_number</vt:lpstr>
      <vt:lpstr>StartDateList</vt:lpstr>
      <vt:lpstr>tblEnd_1_B_FHD</vt:lpstr>
      <vt:lpstr>tblEnd_1_B_FHD_TKO</vt:lpstr>
      <vt:lpstr>tblEnd_1_B_FHD_TKO_TRANS</vt:lpstr>
      <vt:lpstr>tblEnd_1_B_KNE</vt:lpstr>
      <vt:lpstr>tblEnd_1_B_OTEP</vt:lpstr>
      <vt:lpstr>tblEnd_1_B_STANDARTS</vt:lpstr>
      <vt:lpstr>tblEnd_1_CHANGE_INFO</vt:lpstr>
      <vt:lpstr>tblEnd_1_DIFFERENTIATION</vt:lpstr>
      <vt:lpstr>tblEnd_1_DIFFERENTIATION_TARIFF</vt:lpstr>
      <vt:lpstr>tblEnd_1_DIFFERENTIATION_TKO</vt:lpstr>
      <vt:lpstr>tblEnd_1_ED</vt:lpstr>
      <vt:lpstr>tblEnd_1_IP_DETAILED</vt:lpstr>
      <vt:lpstr>tblEnd_1_IP_FIN_PLAN</vt:lpstr>
      <vt:lpstr>tblEnd_1_IP_MAIN</vt:lpstr>
      <vt:lpstr>tblEnd_1_IP_QRE</vt:lpstr>
      <vt:lpstr>tblEnd_1_OFFER</vt:lpstr>
      <vt:lpstr>tblEnd_1_ORG_INFO</vt:lpstr>
      <vt:lpstr>tblEnd_1_ORG_TERRITORY</vt:lpstr>
      <vt:lpstr>tblEnd_1_ORG_VD</vt:lpstr>
      <vt:lpstr>tblEnd_1_ORG_VD_TKO</vt:lpstr>
      <vt:lpstr>tblEnd_1_P_PROCEDURE_TC</vt:lpstr>
      <vt:lpstr>tblEnd_1_P_T_TERMS</vt:lpstr>
      <vt:lpstr>tblEnd_1_Q_LIMIT</vt:lpstr>
      <vt:lpstr>tblEnd_1_Q_PH</vt:lpstr>
      <vt:lpstr>tblEnd_1_Q_TP</vt:lpstr>
      <vt:lpstr>tblEnd_1_R_B_Purch</vt:lpstr>
      <vt:lpstr>tblEnd_1_R_Offer</vt:lpstr>
      <vt:lpstr>tblEnd_1_ROIV_CASE</vt:lpstr>
      <vt:lpstr>tblEnd_1_ROIV_CASE_PUC</vt:lpstr>
      <vt:lpstr>tblEnd_1_ROIV_INFO</vt:lpstr>
      <vt:lpstr>tblEnd_1_ROIV_ORG</vt:lpstr>
      <vt:lpstr>tblEnd_1_ROIV_OTV</vt:lpstr>
      <vt:lpstr>tblEnd_1_TARIFF_A</vt:lpstr>
      <vt:lpstr>tblEnd_1_TARIFF_A_COLDVSNA</vt:lpstr>
      <vt:lpstr>tblEnd_1_TARIFF_A_HOTVSNA</vt:lpstr>
      <vt:lpstr>tblEnd_1_TARIFF_A_VOTV</vt:lpstr>
      <vt:lpstr>tblEnd_1_TARIFF_B</vt:lpstr>
      <vt:lpstr>tblEnd_1_TARIFF_B_COLDVSNA</vt:lpstr>
      <vt:lpstr>tblEnd_1_TARIFF_B_HOTVSNA</vt:lpstr>
      <vt:lpstr>tblEnd_1_TARIFF_B_VOTV</vt:lpstr>
      <vt:lpstr>tblEnd_1_TARIFF_C</vt:lpstr>
      <vt:lpstr>tblEnd_1_TARIFF_C_COLDVSNA</vt:lpstr>
      <vt:lpstr>tblEnd_1_TARIFF_C_HOTVSNA</vt:lpstr>
      <vt:lpstr>tblEnd_1_TARIFF_C_VOTV</vt:lpstr>
      <vt:lpstr>tblEnd_1_TARIFF_D</vt:lpstr>
      <vt:lpstr>tblEnd_1_TARIFF_D_COLDVSNA</vt:lpstr>
      <vt:lpstr>tblEnd_1_TARIFF_E_COLDVSNA</vt:lpstr>
      <vt:lpstr>tblEnd_1_TARIFF_E1</vt:lpstr>
      <vt:lpstr>tblEnd_1_TARIFF_E2</vt:lpstr>
      <vt:lpstr>tblEnd_1_TARIFF_F</vt:lpstr>
      <vt:lpstr>tblEnd_1_TARIFF_G</vt:lpstr>
      <vt:lpstr>tblEnd_1_TARIFF_H</vt:lpstr>
      <vt:lpstr>tblEnd_1_TARIFF_I</vt:lpstr>
      <vt:lpstr>tblEnd_1_TARIFF_I_1</vt:lpstr>
      <vt:lpstr>tblEnd_1_TERRITORY</vt:lpstr>
      <vt:lpstr>tblStart_1_B_FHD</vt:lpstr>
      <vt:lpstr>tblStart_1_B_FHD_TKO</vt:lpstr>
      <vt:lpstr>tblStart_1_B_FHD_TKO_TRANS</vt:lpstr>
      <vt:lpstr>tblStart_1_B_KNE</vt:lpstr>
      <vt:lpstr>tblStart_1_B_OTEP</vt:lpstr>
      <vt:lpstr>tblStart_1_B_STANDARTS</vt:lpstr>
      <vt:lpstr>tblStart_1_CHANGE_INFO</vt:lpstr>
      <vt:lpstr>tblStart_1_DIFFERENTIATION</vt:lpstr>
      <vt:lpstr>tblStart_1_DIFFERENTIATION_TARIFF</vt:lpstr>
      <vt:lpstr>tblStart_1_DIFFERENTIATION_TKO</vt:lpstr>
      <vt:lpstr>tblStart_1_ED</vt:lpstr>
      <vt:lpstr>tblStart_1_IP_DETAILED</vt:lpstr>
      <vt:lpstr>tblStart_1_IP_FIN_PLAN</vt:lpstr>
      <vt:lpstr>tblStart_1_IP_MAIN</vt:lpstr>
      <vt:lpstr>tblStart_1_IP_QRE</vt:lpstr>
      <vt:lpstr>tblStart_1_OFFER</vt:lpstr>
      <vt:lpstr>tblStart_1_ORG_INFO</vt:lpstr>
      <vt:lpstr>tblStart_1_ORG_TERRITORY</vt:lpstr>
      <vt:lpstr>tblStart_1_ORG_VD</vt:lpstr>
      <vt:lpstr>tblStart_1_ORG_VD_TKO</vt:lpstr>
      <vt:lpstr>tblStart_1_P_PROCEDURE_TC</vt:lpstr>
      <vt:lpstr>tblStart_1_P_T_TERMS</vt:lpstr>
      <vt:lpstr>tblStart_1_Q_LIMIT</vt:lpstr>
      <vt:lpstr>tblStart_1_Q_PH</vt:lpstr>
      <vt:lpstr>tblStart_1_Q_TP</vt:lpstr>
      <vt:lpstr>tblStart_1_R_B_Purch</vt:lpstr>
      <vt:lpstr>tblStart_1_R_Offer</vt:lpstr>
      <vt:lpstr>tblStart_1_ROIV_CASE</vt:lpstr>
      <vt:lpstr>tblStart_1_ROIV_CASE_PUC</vt:lpstr>
      <vt:lpstr>tblStart_1_ROIV_INFO</vt:lpstr>
      <vt:lpstr>tblStart_1_ROIV_ORG</vt:lpstr>
      <vt:lpstr>tblStart_1_ROIV_OTV</vt:lpstr>
      <vt:lpstr>tblStart_1_TARIFF_A</vt:lpstr>
      <vt:lpstr>tblStart_1_TARIFF_A_COLDVSNA</vt:lpstr>
      <vt:lpstr>tblStart_1_TARIFF_A_HOTVSNA</vt:lpstr>
      <vt:lpstr>tblStart_1_TARIFF_A_VOTV</vt:lpstr>
      <vt:lpstr>tblStart_1_TARIFF_B</vt:lpstr>
      <vt:lpstr>tblStart_1_TARIFF_B_COLDVSNA</vt:lpstr>
      <vt:lpstr>tblStart_1_TARIFF_B_HOTVSNA</vt:lpstr>
      <vt:lpstr>tblStart_1_TARIFF_B_VOTV</vt:lpstr>
      <vt:lpstr>tblStart_1_TARIFF_C</vt:lpstr>
      <vt:lpstr>tblStart_1_TARIFF_C_COLDVSNA</vt:lpstr>
      <vt:lpstr>tblStart_1_TARIFF_C_HOTVSNA</vt:lpstr>
      <vt:lpstr>tblStart_1_TARIFF_C_VOTV</vt:lpstr>
      <vt:lpstr>tblStart_1_TARIFF_D</vt:lpstr>
      <vt:lpstr>tblStart_1_TARIFF_D_COLDVSNA</vt:lpstr>
      <vt:lpstr>tblStart_1_TARIFF_E_COLDVSNA</vt:lpstr>
      <vt:lpstr>tblStart_1_TARIFF_E1</vt:lpstr>
      <vt:lpstr>tblStart_1_TARIFF_E2</vt:lpstr>
      <vt:lpstr>tblStart_1_TARIFF_F</vt:lpstr>
      <vt:lpstr>tblStart_1_TARIFF_G</vt:lpstr>
      <vt:lpstr>tblStart_1_TARIFF_H</vt:lpstr>
      <vt:lpstr>tblStart_1_TARIFF_I</vt:lpstr>
      <vt:lpstr>tblStart_1_TARIFF_I_1</vt:lpstr>
      <vt:lpstr>tblStart_1_TERRITORY</vt:lpstr>
      <vt:lpstr>TECH_ORG_ID</vt:lpstr>
      <vt:lpstr>TEMPLATE_DATA_POINT</vt:lpstr>
      <vt:lpstr>TEMPLATE_DATA_POINT_FHD</vt:lpstr>
      <vt:lpstr>TEMPLATE_GROUP</vt:lpstr>
      <vt:lpstr>TEMPLATE_NAME_FORM_LIST</vt:lpstr>
      <vt:lpstr>TEMPLATE_NOTE_POINT</vt:lpstr>
      <vt:lpstr>TEMPLATE_NOTE_POINT_FHD</vt:lpstr>
      <vt:lpstr>TEMPLATE_NUMBER_FORM_LIST</vt:lpstr>
      <vt:lpstr>TEMPLATE_NUMBER_POINT_FHD</vt:lpstr>
      <vt:lpstr>TEMPLATE_ORG_DATA_POINT</vt:lpstr>
      <vt:lpstr>TEMPLATE_SPHERE</vt:lpstr>
      <vt:lpstr>TEMPLATE_SPHERE_LIST</vt:lpstr>
      <vt:lpstr>TEMPLATE_SPHERE_LIST_FOR_NOTE</vt:lpstr>
      <vt:lpstr>TEMPLATE_SPHERE_LIST_FOR_NPA</vt:lpstr>
      <vt:lpstr>TEMPLATE_SPHERE_RUS</vt:lpstr>
      <vt:lpstr>TEMPLATE_SPHERE_RUS_2</vt:lpstr>
      <vt:lpstr>TemplateState</vt:lpstr>
      <vt:lpstr>ter_1</vt:lpstr>
      <vt:lpstr>TER_ID</vt:lpstr>
      <vt:lpstr>TERMS_LINK</vt:lpstr>
      <vt:lpstr>TERMS_NAME_FORM</vt:lpstr>
      <vt:lpstr>TERMS_NUM_CONTRACT_COLUMN_MARKER</vt:lpstr>
      <vt:lpstr>TERMS_P_1</vt:lpstr>
      <vt:lpstr>TERMS_TKO_TRANS_DATA</vt:lpstr>
      <vt:lpstr>TERRITORY_CheckC</vt:lpstr>
      <vt:lpstr>TERRITORY_ID</vt:lpstr>
      <vt:lpstr>TERRITORY_LIST_ID</vt:lpstr>
      <vt:lpstr>TERRITORY_MO_LIST</vt:lpstr>
      <vt:lpstr>TERRITORY_MR_LIST</vt:lpstr>
      <vt:lpstr>TERRITORY_NAME_COL</vt:lpstr>
      <vt:lpstr>TERRITORY_POINT_NUMBER_1</vt:lpstr>
      <vt:lpstr>TITLE_BUHG_FLAG</vt:lpstr>
      <vt:lpstr>TITLE_CONNECTION_FLAG</vt:lpstr>
      <vt:lpstr>TITLE_DATA_TYPE</vt:lpstr>
      <vt:lpstr>TITLE_DATE_BUHG</vt:lpstr>
      <vt:lpstr>TITLE_DATE_CHANGE</vt:lpstr>
      <vt:lpstr>TITLE_DATE_CHANGE_PERIOD</vt:lpstr>
      <vt:lpstr>TITLE_DATE_FIL</vt:lpstr>
      <vt:lpstr>TITLE_DATE_PARKING</vt:lpstr>
      <vt:lpstr>TITLE_DATE_PR</vt:lpstr>
      <vt:lpstr>TITLE_DATE_PR_CHANGE</vt:lpstr>
      <vt:lpstr>TITLE_DIFFERENTIATION_TYPE</vt:lpstr>
      <vt:lpstr>TITLE_FIL_YEAR</vt:lpstr>
      <vt:lpstr>TITLE_FLAG_DIFF_SELLER</vt:lpstr>
      <vt:lpstr>TITLE_FLAG_INTERNET</vt:lpstr>
      <vt:lpstr>TITLE_FLAG_IP</vt:lpstr>
      <vt:lpstr>TITLE_FLAG_IP_DETAILED</vt:lpstr>
      <vt:lpstr>TITLE_FLAG_NO_DIFF_COMPONENT</vt:lpstr>
      <vt:lpstr>TITLE_FLAG_NOT_REG_PRICE</vt:lpstr>
      <vt:lpstr>TITLE_FLAG_OTV_ROIV</vt:lpstr>
      <vt:lpstr>TITLE_FLAG_REG_PRICE_IP</vt:lpstr>
      <vt:lpstr>TITLE_FLAG_TKO_TRANS</vt:lpstr>
      <vt:lpstr>TITLE_FLAG_TOP80_ACTIVITY</vt:lpstr>
      <vt:lpstr>TITLE_HEADER_PR_CHANGE</vt:lpstr>
      <vt:lpstr>TITLE_IP_DETAILED_METHOD_LIST</vt:lpstr>
      <vt:lpstr>TITLE_IST_PUB</vt:lpstr>
      <vt:lpstr>TITLE_IST_PUB_CHANGE</vt:lpstr>
      <vt:lpstr>TITLE_NAME_OR_PR</vt:lpstr>
      <vt:lpstr>TITLE_NAME_OR_PR_CHANGE</vt:lpstr>
      <vt:lpstr>TITLE_NUMBER_PR</vt:lpstr>
      <vt:lpstr>TITLE_NUMBER_PR_CHANGE</vt:lpstr>
      <vt:lpstr>TITLE_PERIOD_END</vt:lpstr>
      <vt:lpstr>TITLE_PERIOD_START</vt:lpstr>
      <vt:lpstr>TITLE_PRICE_INDICATORS_GRAPH</vt:lpstr>
      <vt:lpstr>TITLE_PRICE_INDICATORS_LEVEL</vt:lpstr>
      <vt:lpstr>TITLE_STRUCTURE_INFO_ROIV</vt:lpstr>
      <vt:lpstr>TITLE_TYPE_ORG</vt:lpstr>
      <vt:lpstr>TKO_PT_VED_ID</vt:lpstr>
      <vt:lpstr>TKO_PT_VED_NAME</vt:lpstr>
      <vt:lpstr>TKO_PT_VED_NAME_LIST</vt:lpstr>
      <vt:lpstr>TP_NAME_FORM</vt:lpstr>
      <vt:lpstr>TP_NUMBER_FORM</vt:lpstr>
      <vt:lpstr>TP_P_A</vt:lpstr>
      <vt:lpstr>TP_P_B</vt:lpstr>
      <vt:lpstr>TP_P_G</vt:lpstr>
      <vt:lpstr>TP_P_NOTE_A</vt:lpstr>
      <vt:lpstr>TP_P_NOTE_B</vt:lpstr>
      <vt:lpstr>TP_P_NOTE_G</vt:lpstr>
      <vt:lpstr>TP_P_NOTE_G_1</vt:lpstr>
      <vt:lpstr>TP_P_NOTE_V</vt:lpstr>
      <vt:lpstr>TP_P_NOTE_V_1</vt:lpstr>
      <vt:lpstr>TP_P_V</vt:lpstr>
      <vt:lpstr>TP_P_V_1</vt:lpstr>
      <vt:lpstr>TYPE_TKO_LIST</vt:lpstr>
      <vt:lpstr>UNIT_CONNECT_LIST</vt:lpstr>
      <vt:lpstr>VD_ID_LIST</vt:lpstr>
      <vt:lpstr>VD_LIST</vt:lpstr>
      <vt:lpstr>VD_NAME_LIST</vt:lpstr>
      <vt:lpstr>VDET_END_DATE</vt:lpstr>
      <vt:lpstr>VDET_START_DATE</vt:lpstr>
      <vt:lpstr>version</vt:lpstr>
      <vt:lpstr>VOTV_FIN_SRC_LIST</vt:lpstr>
      <vt:lpstr>VOTV_FIN_SRC_VLD_LIST</vt:lpstr>
      <vt:lpstr>VOTV_IP_EVENT_CI_STAGE_LIST</vt:lpstr>
      <vt:lpstr>VOTV_IP_EVENT_GROUP_LIST</vt:lpstr>
      <vt:lpstr>VOTV_IP_EVENT_SUBGROUP_1_LIST</vt:lpstr>
      <vt:lpstr>VOTV_IP_EVENT_SUBGROUP_3_LIST</vt:lpstr>
      <vt:lpstr>VOTV_IP_EVENT_SUBGROUP_5_LIST</vt:lpstr>
      <vt:lpstr>VOTV_IP_EVENT_TYPE_LIST</vt:lpstr>
      <vt:lpstr>VOTV_PT_VED_ID</vt:lpstr>
      <vt:lpstr>VOTV_PT_VED_NAME</vt:lpstr>
      <vt:lpstr>VOTV_PT_VED_NAME_LIST</vt:lpstr>
      <vt:lpstr>VOTV_TARIFF_A_VOTV_ADD_HL_COLUMN_MARKER</vt:lpstr>
      <vt:lpstr>VOTV_TARIFF_A_VOTV_DEL_HL_DATA_DIFF_COLUMN_MARKER</vt:lpstr>
      <vt:lpstr>VOTV_TARIFF_A_VOTV_DEL_HL_FLAG_DIFF_COLUMN_MARKER</vt:lpstr>
      <vt:lpstr>VOTV_TARIFF_A_VOTV_DEL_HL_GC_COLUMN_MARKER</vt:lpstr>
      <vt:lpstr>VOTV_TARIFF_A_VOTV_DELETE_PERIOD_ROW_MARKER</vt:lpstr>
      <vt:lpstr>VOTV_TARIFF_A_VOTV_FLAG_BLOCK_COLUMN_MARKER</vt:lpstr>
      <vt:lpstr>VOTV_TARIFF_A_VOTV_FLAG_BLOCK_ROW_MARKER</vt:lpstr>
      <vt:lpstr>VOTV_TARIFF_A_VOTV_NUM_CS_COLUMN_MARKER</vt:lpstr>
      <vt:lpstr>VOTV_TARIFF_A_VOTV_NUM_DATA_DIFF_COLUMN_MARKER</vt:lpstr>
      <vt:lpstr>VOTV_TARIFF_A_VOTV_NUM_FLAG_DIFF_COLUMN_MARKER</vt:lpstr>
      <vt:lpstr>VOTV_TARIFF_A_VOTV_NUM_GC_COLUMN_MARKER</vt:lpstr>
      <vt:lpstr>VOTV_TARIFF_A_VOTV_NUM_NTAR_COLUMN_MARKER</vt:lpstr>
      <vt:lpstr>VOTV_TARIFF_A_VOTV_NUM_TER_COLUMN_MARKER</vt:lpstr>
      <vt:lpstr>VOTV_TARIFF_B_VOTV_ADD_HL_COLUMN_MARKER</vt:lpstr>
      <vt:lpstr>VOTV_TARIFF_B_VOTV_DEL_HL_DATA_DIFF_COLUMN_MARKER</vt:lpstr>
      <vt:lpstr>VOTV_TARIFF_B_VOTV_DEL_HL_FLAG_DIFF_COLUMN_MARKER</vt:lpstr>
      <vt:lpstr>VOTV_TARIFF_B_VOTV_DEL_HL_GC_COLUMN_MARKER</vt:lpstr>
      <vt:lpstr>VOTV_TARIFF_B_VOTV_DELETE_PERIOD_ROW_MARKER</vt:lpstr>
      <vt:lpstr>VOTV_TARIFF_B_VOTV_FLAG_BLOCK_COLUMN_MARKER</vt:lpstr>
      <vt:lpstr>VOTV_TARIFF_B_VOTV_FLAG_BLOCK_ROW_MARKER</vt:lpstr>
      <vt:lpstr>VOTV_TARIFF_B_VOTV_NUM_CS_COLUMN_MARKER</vt:lpstr>
      <vt:lpstr>VOTV_TARIFF_B_VOTV_NUM_DATA_DIFF_COLUMN_MARKER</vt:lpstr>
      <vt:lpstr>VOTV_TARIFF_B_VOTV_NUM_FLAG_DIFF_COLUMN_MARKER</vt:lpstr>
      <vt:lpstr>VOTV_TARIFF_B_VOTV_NUM_GC_COLUMN_MARKER</vt:lpstr>
      <vt:lpstr>VOTV_TARIFF_B_VOTV_NUM_NTAR_COLUMN_MARKER</vt:lpstr>
      <vt:lpstr>VOTV_TARIFF_B_VOTV_NUM_TER_COLUMN_MARKER</vt:lpstr>
      <vt:lpstr>VOTV_TARIFF_C_VOTV_ADD_HL_COLUMN_MARKER</vt:lpstr>
      <vt:lpstr>VOTV_TARIFF_C_VOTV_ADD_HL_DIAMETERS_COLUMN_MARKER</vt:lpstr>
      <vt:lpstr>VOTV_TARIFF_C_VOTV_ADD_HL_LEN_COLUMN_MARKER</vt:lpstr>
      <vt:lpstr>VOTV_TARIFF_C_VOTV_ADD_HL_LOAD_COLUMN_MARKER</vt:lpstr>
      <vt:lpstr>VOTV_TARIFF_C_VOTV_ADD_HL_NETS_COLUMN_MARKER</vt:lpstr>
      <vt:lpstr>VOTV_TARIFF_C_VOTV_DEL_HL_DATA_DIFF_COLUMN_MARKER</vt:lpstr>
      <vt:lpstr>VOTV_TARIFF_C_VOTV_DEL_HL_DIAMETERS_COLUMN_MARKER</vt:lpstr>
      <vt:lpstr>VOTV_TARIFF_C_VOTV_DEL_HL_FLAG_DIFF_COLUMN_MARKER</vt:lpstr>
      <vt:lpstr>VOTV_TARIFF_C_VOTV_DEL_HL_GC_COLUMN_MARKER</vt:lpstr>
      <vt:lpstr>VOTV_TARIFF_C_VOTV_DEL_HL_LEN_COLUMN_MARKER</vt:lpstr>
      <vt:lpstr>VOTV_TARIFF_C_VOTV_DEL_HL_LOAD_COLUMN_MARKER</vt:lpstr>
      <vt:lpstr>VOTV_TARIFF_C_VOTV_DEL_HL_NETS_COLUMN_MARKER</vt:lpstr>
      <vt:lpstr>VOTV_TARIFF_C_VOTV_DELETE_PERIOD_ROW_MARKER</vt:lpstr>
      <vt:lpstr>VOTV_TARIFF_C_VOTV_FLAG_BLOCK_COLUMN_MARKER</vt:lpstr>
      <vt:lpstr>VOTV_TARIFF_C_VOTV_FLAG_BLOCK_ROW_MARKER</vt:lpstr>
      <vt:lpstr>VOTV_TARIFF_C_VOTV_NUM_CS_COLUMN_MARKER</vt:lpstr>
      <vt:lpstr>VOTV_TARIFF_C_VOTV_NUM_DATA_DIFF_COLUMN_MARKER</vt:lpstr>
      <vt:lpstr>VOTV_TARIFF_C_VOTV_NUM_DIAMETERS_COLUMN_MARKER</vt:lpstr>
      <vt:lpstr>VOTV_TARIFF_C_VOTV_NUM_FLAG_DIFF_COLUMN_MARKER</vt:lpstr>
      <vt:lpstr>VOTV_TARIFF_C_VOTV_NUM_GC_COLUMN_MARKER</vt:lpstr>
      <vt:lpstr>VOTV_TARIFF_C_VOTV_NUM_LEN_COLUMN_MARKER</vt:lpstr>
      <vt:lpstr>VOTV_TARIFF_C_VOTV_NUM_LOAD_COLUMN_MARKER</vt:lpstr>
      <vt:lpstr>VOTV_TARIFF_C_VOTV_NUM_NETS_COLUMN_MARKER</vt:lpstr>
      <vt:lpstr>VOTV_TARIFF_C_VOTV_NUM_NTAR_COLUMN_MARKER</vt:lpstr>
      <vt:lpstr>VOTV_TARIFF_C_VOTV_NUM_TER_COLUMN_MARKER</vt:lpstr>
      <vt:lpstr>VSNA_FIN_SRC_LIST</vt:lpstr>
      <vt:lpstr>VSNA_FIN_SRC_VLD_LIST</vt:lpstr>
      <vt:lpstr>VSNA_IP_EVENT_CI_STAGE_LIST</vt:lpstr>
      <vt:lpstr>VSNA_IP_EVENT_GROUP_LIST</vt:lpstr>
      <vt:lpstr>VSNA_IP_EVENT_SUBGROUP_1_LIST</vt:lpstr>
      <vt:lpstr>VSNA_IP_EVENT_SUBGROUP_3_LIST</vt:lpstr>
      <vt:lpstr>VSNA_IP_EVENT_SUBGROUP_5_LIST</vt:lpstr>
      <vt:lpstr>VSNA_IP_EVENT_TYPE_LIST</vt:lpstr>
      <vt:lpstr>VTAR_ID</vt:lpstr>
      <vt:lpstr>Y_N_DIFFERENTIATION_AREA</vt:lpstr>
      <vt:lpstr>Y_N_DIFFERENTIATION_SYSTEM</vt:lpstr>
      <vt:lpstr>YEAR_IP_LIST</vt:lpstr>
      <vt:lpstr>year_list</vt:lpstr>
      <vt:lpstr>year_list1</vt:lpstr>
    </vt:vector>
  </TitlesOfParts>
  <Company>ФАС России</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Информация, подлежащая раскрытию организациями сферы теплоснабжения (цены и тарифы)</dc:title>
  <dc:subject>Информация, подлежащая раскрытию организациями сферы теплоснабжения (цены и тарифы)</dc:subject>
  <dc:creator>--</dc:creator>
  <dc:description/>
  <cp:lastModifiedBy>-</cp:lastModifiedBy>
  <cp:lastPrinted>2013-08-29T08:11:20Z</cp:lastPrinted>
  <dcterms:created xsi:type="dcterms:W3CDTF">2004-05-21T07:18:45Z</dcterms:created>
  <dcterms:modified xsi:type="dcterms:W3CDTF">2024-03-31T15:42:24Z</dcterms:modified>
</cp:coreProperties>
</file>

<file path=docProps/custom.xml><?xml version="1.0" encoding="utf-8"?>
<Properties xmlns="http://schemas.openxmlformats.org/officeDocument/2006/custom-properties" xmlns:vt="http://schemas.openxmlformats.org/officeDocument/2006/docPropsVTypes"/>
</file>